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7.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10.xml" ContentType="application/vnd.openxmlformats-officedocument.drawingml.chartshap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3.xml" ContentType="application/vnd.openxmlformats-officedocument.drawingml.chartshapes+xml"/>
  <Override PartName="/xl/comments8.xml" ContentType="application/vnd.openxmlformats-officedocument.spreadsheetml.comments+xml"/>
  <Override PartName="/xl/comments9.xml" ContentType="application/vnd.openxmlformats-officedocument.spreadsheetml.comment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5.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6.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wesleychang/Desktop/"/>
    </mc:Choice>
  </mc:AlternateContent>
  <xr:revisionPtr revIDLastSave="0" documentId="13_ncr:1_{495634FA-2814-8F4D-ABF6-51C4AA68B94F}" xr6:coauthVersionLast="47" xr6:coauthVersionMax="47" xr10:uidLastSave="{00000000-0000-0000-0000-000000000000}"/>
  <bookViews>
    <workbookView xWindow="280" yWindow="1620" windowWidth="27860" windowHeight="16140" activeTab="1" xr2:uid="{4F114815-CDE1-42F3-88AF-C48C8537482C}"/>
  </bookViews>
  <sheets>
    <sheet name="About BatPaC" sheetId="26" r:id="rId1"/>
    <sheet name="Dashboard" sheetId="28" r:id="rId2"/>
    <sheet name="Summary of Results" sheetId="4" r:id="rId3"/>
    <sheet name="Chem" sheetId="30" r:id="rId4"/>
    <sheet name="Battery Design" sheetId="3" r:id="rId5"/>
    <sheet name="BMS" sheetId="49" r:id="rId6"/>
    <sheet name="Manufacturing Costs" sheetId="56" r:id="rId7"/>
    <sheet name="Cost Input" sheetId="2" r:id="rId8"/>
    <sheet name="Cost Breakdown" sheetId="55" r:id="rId9"/>
    <sheet name="Detailed Cost Breakdown" sheetId="57" r:id="rId10"/>
    <sheet name="Recycle" sheetId="25" r:id="rId11"/>
    <sheet name="Thermal" sheetId="14" r:id="rId12"/>
    <sheet name="USABC Data" sheetId="22" r:id="rId13"/>
    <sheet name="Tool-Generate Chem Couple" sheetId="52" r:id="rId14"/>
    <sheet name="Tool-CAM Cost" sheetId="59" state="hidden" r:id="rId15"/>
    <sheet name="Default Vehicle Configurations" sheetId="53" r:id="rId16"/>
    <sheet name="Vehicle Considerations" sheetId="50" r:id="rId17"/>
    <sheet name="Lists" sheetId="27" r:id="rId18"/>
  </sheets>
  <definedNames>
    <definedName name="_ASI_10s">Chem!$C$122:$C$132</definedName>
    <definedName name="_ASI_2s">Chem!$C$109:$C$119</definedName>
    <definedName name="_chem_couples">Lists!$B$6:$B$58</definedName>
    <definedName name="_chem_formulas">Lists!$O$64:$AG$64</definedName>
    <definedName name="_Conductivity_Al" comment="Conductivity of Al  ((S/m))">Lists!$AS$177</definedName>
    <definedName name="_Conductivity_Cu" comment="Conductivity of Cu  ((S/m))">Lists!$AS$176</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nufact_method">'Manufacturing Costs'!$E$484</definedName>
    <definedName name="_materials">Lists!$O$63:$AG$63</definedName>
    <definedName name="_N_a" comment="Avogadro constant  (mol -1)">6.02214E+23</definedName>
    <definedName name="_OCV_array">Chem!$C$96:$C$106</definedName>
    <definedName name="_p_days">320/'Cost Input'!$F$81</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electedVehicle">Dashboard!$D$34</definedName>
    <definedName name="_Sensitive">Dashboard!$D$35</definedName>
    <definedName name="_SiliconFractions">IF(Dashboard!$D$28="No", 0, {0,5,10,15,20})</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Costs'!$E$474</definedName>
    <definedName name="_vehicles">OFFSET('Vehicle Considerations'!$C$8, 0,0,1, COUNTA('Vehicle Considerations'!$C$8:$O$8))</definedName>
    <definedName name="Desired_Outputs">Lists!$A$75:$I$99</definedName>
    <definedName name="MovableTable">OFFSET(Lists!$B$74, 0,0,Lists!$A$74+2, 8)</definedName>
    <definedName name="_xlnm.Print_Area" localSheetId="4">'Battery Design'!$B$43:$G$468</definedName>
    <definedName name="_xlnm.Print_Area" localSheetId="3">Chem!$AB$1:$AT$163</definedName>
    <definedName name="_xlnm.Print_Area" localSheetId="8">'Cost Breakdown'!$B$1:$M$358</definedName>
    <definedName name="_xlnm.Print_Area" localSheetId="7">'Cost Input'!$B$213:$F$303</definedName>
    <definedName name="_xlnm.Print_Area" localSheetId="1">Dashboard!$C$234:$E$263</definedName>
    <definedName name="_xlnm.Print_Area" localSheetId="9">'Detailed Cost Breakdown'!$B$1:$M$782</definedName>
    <definedName name="_xlnm.Print_Area" localSheetId="6">'Manufacturing Costs'!#REF!</definedName>
    <definedName name="_xlnm.Print_Area" localSheetId="10">Recycle!$B$1:$M$104</definedName>
    <definedName name="_xlnm.Print_Area" localSheetId="2">'Summary of Results'!#REF!</definedName>
    <definedName name="_xlnm.Print_Area" localSheetId="11">Thermal!$B$6:$M$176</definedName>
    <definedName name="_xlnm.Print_Area" localSheetId="12">'USABC Data'!$B$1:$N$28</definedName>
    <definedName name="_xlnm.Print_Titles" localSheetId="4">'Battery Design'!$1:$6</definedName>
    <definedName name="_xlnm.Print_Titles" localSheetId="3">Chem!$1:$4</definedName>
    <definedName name="_xlnm.Print_Titles" localSheetId="6">'Manufacturing Costs'!#REF!</definedName>
    <definedName name="_xlnm.Print_Titles" localSheetId="10">Recycle!$1:$6</definedName>
    <definedName name="_xlnm.Print_Titles" localSheetId="2">'Summary of Results'!$1:$6</definedName>
    <definedName name="_xlnm.Print_Titles" localSheetId="11">Thermal!$6:$157</definedName>
    <definedName name="_xlnm.Print_Titles" localSheetId="12">'USABC Data'!$B:$E,'USABC Data'!$1:$1</definedName>
    <definedName name="Restart__0_1">Dashboard!$D$6</definedName>
    <definedName name="solver_adj" localSheetId="1" hidden="1">Dashboard!$D$74:$D$78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Results'!#REF!</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8"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3" i="28" l="1"/>
  <c r="D6" i="28"/>
  <c r="E67" i="28"/>
  <c r="F67" i="28"/>
  <c r="G67" i="28"/>
  <c r="H67" i="28"/>
  <c r="I67" i="28"/>
  <c r="J67" i="28"/>
  <c r="D67" i="28"/>
  <c r="BC75" i="53"/>
  <c r="BC55" i="53"/>
  <c r="E156" i="28"/>
  <c r="F156" i="28"/>
  <c r="G156" i="28"/>
  <c r="H156" i="28"/>
  <c r="I156" i="28"/>
  <c r="J156" i="28"/>
  <c r="D156" i="28"/>
  <c r="Z24" i="52"/>
  <c r="B58" i="25"/>
  <c r="B59" i="25"/>
  <c r="B45" i="25"/>
  <c r="B44" i="25"/>
  <c r="C52" i="28"/>
  <c r="F109" i="2"/>
  <c r="F107" i="2"/>
  <c r="E70" i="59"/>
  <c r="F70" i="59"/>
  <c r="G70" i="59"/>
  <c r="H70" i="59"/>
  <c r="I70" i="59"/>
  <c r="J70" i="59"/>
  <c r="K70" i="59"/>
  <c r="D70" i="59"/>
  <c r="E68" i="59"/>
  <c r="F68" i="59"/>
  <c r="G68" i="59"/>
  <c r="H68" i="59"/>
  <c r="I68" i="59"/>
  <c r="J68" i="59"/>
  <c r="K68" i="59"/>
  <c r="D68" i="59"/>
  <c r="K69" i="59" l="1"/>
  <c r="J69" i="59"/>
  <c r="I69" i="59"/>
  <c r="H69" i="59"/>
  <c r="G69" i="59"/>
  <c r="F69" i="59"/>
  <c r="E69" i="59"/>
  <c r="D69" i="59"/>
  <c r="D35" i="59"/>
  <c r="D34" i="59"/>
  <c r="D33" i="59"/>
  <c r="D104" i="59"/>
  <c r="D103" i="59"/>
  <c r="D102" i="59"/>
  <c r="D101" i="59"/>
  <c r="F23" i="59"/>
  <c r="D100" i="59"/>
  <c r="F22" i="59"/>
  <c r="D99" i="59"/>
  <c r="F21" i="59"/>
  <c r="D98" i="59"/>
  <c r="K52" i="59" s="1"/>
  <c r="F20" i="59"/>
  <c r="D97" i="59"/>
  <c r="F50" i="59" s="1"/>
  <c r="F19" i="59"/>
  <c r="D96" i="59"/>
  <c r="G49" i="59" s="1"/>
  <c r="F18" i="59"/>
  <c r="D95" i="59"/>
  <c r="K48" i="59" s="1"/>
  <c r="F17" i="59"/>
  <c r="D94" i="59"/>
  <c r="K47" i="59" s="1"/>
  <c r="F16" i="59"/>
  <c r="D93" i="59"/>
  <c r="F46" i="59" s="1"/>
  <c r="F15" i="59"/>
  <c r="K86" i="59"/>
  <c r="J86" i="59"/>
  <c r="I86" i="59"/>
  <c r="H86" i="59"/>
  <c r="G86" i="59"/>
  <c r="F86" i="59"/>
  <c r="E86" i="59"/>
  <c r="D86" i="59"/>
  <c r="D92" i="59"/>
  <c r="F45" i="59" s="1"/>
  <c r="D91" i="59"/>
  <c r="J44" i="59" s="1"/>
  <c r="J55" i="59" s="1"/>
  <c r="D44" i="59" l="1"/>
  <c r="D55" i="59" s="1"/>
  <c r="D45" i="59"/>
  <c r="D56" i="59" s="1"/>
  <c r="F56" i="59"/>
  <c r="G60" i="59"/>
  <c r="I45" i="59"/>
  <c r="I56" i="59" s="1"/>
  <c r="E45" i="59"/>
  <c r="E56" i="59" s="1"/>
  <c r="K44" i="59"/>
  <c r="K55" i="59" s="1"/>
  <c r="J45" i="59"/>
  <c r="J56" i="59" s="1"/>
  <c r="F49" i="59"/>
  <c r="F60" i="59" s="1"/>
  <c r="K59" i="59"/>
  <c r="H45" i="59"/>
  <c r="H56" i="59" s="1"/>
  <c r="D49" i="59"/>
  <c r="D60" i="59" s="1"/>
  <c r="D50" i="59"/>
  <c r="D61" i="59" s="1"/>
  <c r="G45" i="59"/>
  <c r="G56" i="59" s="1"/>
  <c r="K45" i="59"/>
  <c r="K56" i="59" s="1"/>
  <c r="K58" i="59"/>
  <c r="H49" i="59"/>
  <c r="H60" i="59" s="1"/>
  <c r="J49" i="59"/>
  <c r="J60" i="59" s="1"/>
  <c r="K63" i="59"/>
  <c r="F57" i="59"/>
  <c r="E49" i="59"/>
  <c r="E60" i="59" s="1"/>
  <c r="I49" i="59"/>
  <c r="I60" i="59" s="1"/>
  <c r="K49" i="59"/>
  <c r="K60" i="59" s="1"/>
  <c r="E50" i="59"/>
  <c r="E61" i="59" s="1"/>
  <c r="F61" i="59"/>
  <c r="G46" i="59"/>
  <c r="G57" i="59" s="1"/>
  <c r="I50" i="59"/>
  <c r="I61" i="59" s="1"/>
  <c r="J46" i="59"/>
  <c r="J57" i="59" s="1"/>
  <c r="J50" i="59"/>
  <c r="J61" i="59" s="1"/>
  <c r="D46" i="59"/>
  <c r="D57" i="59" s="1"/>
  <c r="I46" i="59"/>
  <c r="I57" i="59" s="1"/>
  <c r="K46" i="59"/>
  <c r="K57" i="59" s="1"/>
  <c r="K50" i="59"/>
  <c r="K61" i="59" s="1"/>
  <c r="E47" i="59"/>
  <c r="E58" i="59" s="1"/>
  <c r="E51" i="59"/>
  <c r="E62" i="59" s="1"/>
  <c r="D47" i="59"/>
  <c r="D58" i="59" s="1"/>
  <c r="F47" i="59"/>
  <c r="F58" i="59" s="1"/>
  <c r="G51" i="59"/>
  <c r="G62" i="59" s="1"/>
  <c r="H47" i="59"/>
  <c r="H58" i="59" s="1"/>
  <c r="J47" i="59"/>
  <c r="J58" i="59" s="1"/>
  <c r="J51" i="59"/>
  <c r="J62" i="59" s="1"/>
  <c r="H50" i="59"/>
  <c r="H61" i="59" s="1"/>
  <c r="H46" i="59"/>
  <c r="H57" i="59" s="1"/>
  <c r="E46" i="59"/>
  <c r="E57" i="59" s="1"/>
  <c r="D51" i="59"/>
  <c r="D62" i="59" s="1"/>
  <c r="G50" i="59"/>
  <c r="G61" i="59" s="1"/>
  <c r="F51" i="59"/>
  <c r="F62" i="59" s="1"/>
  <c r="G47" i="59"/>
  <c r="G58" i="59" s="1"/>
  <c r="H51" i="59"/>
  <c r="H62" i="59" s="1"/>
  <c r="I47" i="59"/>
  <c r="I58" i="59" s="1"/>
  <c r="I51" i="59"/>
  <c r="I62" i="59" s="1"/>
  <c r="K51" i="59"/>
  <c r="K62" i="59" s="1"/>
  <c r="D48" i="59"/>
  <c r="D59" i="59" s="1"/>
  <c r="D52" i="59"/>
  <c r="D63" i="59" s="1"/>
  <c r="E44" i="59"/>
  <c r="E55" i="59" s="1"/>
  <c r="E48" i="59"/>
  <c r="E59" i="59" s="1"/>
  <c r="E52" i="59"/>
  <c r="E63" i="59" s="1"/>
  <c r="F44" i="59"/>
  <c r="F55" i="59" s="1"/>
  <c r="F48" i="59"/>
  <c r="F59" i="59" s="1"/>
  <c r="F52" i="59"/>
  <c r="F63" i="59" s="1"/>
  <c r="G44" i="59"/>
  <c r="G55" i="59" s="1"/>
  <c r="G48" i="59"/>
  <c r="G59" i="59" s="1"/>
  <c r="G52" i="59"/>
  <c r="G63" i="59" s="1"/>
  <c r="H44" i="59"/>
  <c r="H55" i="59" s="1"/>
  <c r="H48" i="59"/>
  <c r="H59" i="59" s="1"/>
  <c r="H52" i="59"/>
  <c r="H63" i="59" s="1"/>
  <c r="I44" i="59"/>
  <c r="I55" i="59" s="1"/>
  <c r="I48" i="59"/>
  <c r="I59" i="59" s="1"/>
  <c r="I52" i="59"/>
  <c r="I63" i="59" s="1"/>
  <c r="J48" i="59"/>
  <c r="J59" i="59" s="1"/>
  <c r="J52" i="59"/>
  <c r="J63" i="59" s="1"/>
  <c r="B139" i="27"/>
  <c r="B150" i="27"/>
  <c r="B138" i="27"/>
  <c r="K64" i="59" l="1"/>
  <c r="K71" i="59" s="1"/>
  <c r="D64" i="59"/>
  <c r="D71" i="59" s="1"/>
  <c r="D74" i="59" s="1"/>
  <c r="J64" i="59"/>
  <c r="J71" i="59" s="1"/>
  <c r="J74" i="59" s="1"/>
  <c r="I64" i="59"/>
  <c r="I71" i="59" s="1"/>
  <c r="H64" i="59"/>
  <c r="H71" i="59" s="1"/>
  <c r="G64" i="59"/>
  <c r="G71" i="59" s="1"/>
  <c r="F64" i="59"/>
  <c r="F71" i="59" s="1"/>
  <c r="E64" i="59"/>
  <c r="E71" i="59" s="1"/>
  <c r="G64" i="2"/>
  <c r="F65" i="2"/>
  <c r="G65" i="2"/>
  <c r="F66" i="2"/>
  <c r="G66" i="2"/>
  <c r="F67" i="2"/>
  <c r="G67" i="2"/>
  <c r="F68" i="2"/>
  <c r="G68" i="2"/>
  <c r="F69" i="2"/>
  <c r="G69" i="2"/>
  <c r="F70" i="2"/>
  <c r="G70" i="2"/>
  <c r="G71" i="2"/>
  <c r="E65" i="2"/>
  <c r="G75" i="2"/>
  <c r="E74" i="2"/>
  <c r="AU106" i="27"/>
  <c r="K76" i="59" l="1"/>
  <c r="K74" i="59"/>
  <c r="D76" i="59"/>
  <c r="D78" i="59" s="1"/>
  <c r="J76" i="59"/>
  <c r="J77" i="59" s="1"/>
  <c r="E76" i="59"/>
  <c r="E74" i="59"/>
  <c r="I76" i="59"/>
  <c r="I74" i="59"/>
  <c r="H74" i="59"/>
  <c r="H76" i="59"/>
  <c r="F74" i="59"/>
  <c r="F76" i="59"/>
  <c r="G74" i="59"/>
  <c r="G76" i="59"/>
  <c r="W192" i="27"/>
  <c r="W186" i="27"/>
  <c r="W177" i="27"/>
  <c r="W176" i="27" s="1"/>
  <c r="W173" i="27"/>
  <c r="W164" i="27"/>
  <c r="W163" i="27"/>
  <c r="V192" i="27"/>
  <c r="V186" i="27"/>
  <c r="V177" i="27"/>
  <c r="V176" i="27" s="1"/>
  <c r="V173" i="27"/>
  <c r="V164" i="27"/>
  <c r="V163" i="27"/>
  <c r="K78" i="59" l="1"/>
  <c r="K77" i="59"/>
  <c r="D77" i="59"/>
  <c r="J78" i="59"/>
  <c r="H78" i="59"/>
  <c r="H77" i="59"/>
  <c r="F77" i="59"/>
  <c r="F78" i="59"/>
  <c r="G78" i="59"/>
  <c r="G77" i="59"/>
  <c r="I78" i="59"/>
  <c r="I77" i="59"/>
  <c r="E78" i="59"/>
  <c r="E77" i="59"/>
  <c r="BG137" i="30"/>
  <c r="BB137" i="30"/>
  <c r="BG136" i="30"/>
  <c r="BB136" i="30"/>
  <c r="BG132" i="30"/>
  <c r="BB132" i="30"/>
  <c r="BG123" i="30"/>
  <c r="BG122" i="30" s="1"/>
  <c r="BB123" i="30"/>
  <c r="BB122" i="30" s="1"/>
  <c r="BG119" i="30"/>
  <c r="BB119" i="30"/>
  <c r="BG110" i="30"/>
  <c r="BG109" i="30" s="1"/>
  <c r="BB110" i="30"/>
  <c r="BB109" i="30" s="1"/>
  <c r="BG69" i="30"/>
  <c r="BB69" i="30"/>
  <c r="BG65" i="30"/>
  <c r="BB65" i="30"/>
  <c r="BG55" i="30"/>
  <c r="BB55" i="30"/>
  <c r="BG25" i="30"/>
  <c r="BB25" i="30"/>
  <c r="AB76" i="27"/>
  <c r="AB75" i="27" s="1"/>
  <c r="AB74" i="27" s="1"/>
  <c r="AB68" i="27" a="1"/>
  <c r="AB68" i="27" s="1"/>
  <c r="AB70" i="27" s="1"/>
  <c r="BG142" i="30" l="1"/>
  <c r="BB141" i="30"/>
  <c r="BG141" i="30"/>
  <c r="BB142" i="30"/>
  <c r="U186" i="27"/>
  <c r="U177" i="27"/>
  <c r="U176" i="27" s="1"/>
  <c r="U173" i="27"/>
  <c r="U164" i="27"/>
  <c r="U163" i="27" s="1"/>
  <c r="U192" i="27"/>
  <c r="T192" i="27"/>
  <c r="S192" i="27"/>
  <c r="R192" i="27"/>
  <c r="Q192" i="27"/>
  <c r="B630" i="56"/>
  <c r="B629" i="56"/>
  <c r="B562" i="56" l="1"/>
  <c r="B561" i="56"/>
  <c r="N460" i="56"/>
  <c r="N462" i="56"/>
  <c r="B552" i="56"/>
  <c r="B551" i="56"/>
  <c r="N513" i="56" l="1"/>
  <c r="N514" i="56"/>
  <c r="N516" i="56" s="1"/>
  <c r="N515" i="56"/>
  <c r="N517" i="56" l="1"/>
  <c r="X68" i="27" a="1"/>
  <c r="X68" i="27" s="1"/>
  <c r="Y68" i="27" a="1"/>
  <c r="Y68" i="27" s="1"/>
  <c r="Z68" i="27" a="1"/>
  <c r="Z68" i="27" s="1"/>
  <c r="AA68" i="27" a="1"/>
  <c r="AA68" i="27" s="1"/>
  <c r="N620" i="56" l="1"/>
  <c r="B604" i="56"/>
  <c r="B603" i="56"/>
  <c r="N634" i="56"/>
  <c r="N130" i="56" l="1"/>
  <c r="N434" i="56"/>
  <c r="N85" i="56"/>
  <c r="N86" i="56"/>
  <c r="N84" i="56"/>
  <c r="E403" i="56"/>
  <c r="E401" i="56"/>
  <c r="E359" i="56"/>
  <c r="E358" i="56"/>
  <c r="E357" i="56"/>
  <c r="E356" i="56"/>
  <c r="T186" i="27"/>
  <c r="S186" i="27"/>
  <c r="R186" i="27"/>
  <c r="Q186" i="27"/>
  <c r="T177" i="27"/>
  <c r="S177" i="27"/>
  <c r="R177" i="27"/>
  <c r="Q177" i="27"/>
  <c r="T176" i="27"/>
  <c r="S176" i="27"/>
  <c r="R176" i="27"/>
  <c r="Q176" i="27"/>
  <c r="T173" i="27"/>
  <c r="R173" i="27"/>
  <c r="S173" i="27"/>
  <c r="Q173" i="27"/>
  <c r="T164" i="27"/>
  <c r="T163" i="27" s="1"/>
  <c r="R164" i="27"/>
  <c r="R163" i="27" s="1"/>
  <c r="S164" i="27"/>
  <c r="S163" i="27" s="1"/>
  <c r="Q163" i="27"/>
  <c r="Q164" i="27"/>
  <c r="B515" i="56"/>
  <c r="F401" i="56"/>
  <c r="F402" i="56"/>
  <c r="F403" i="56"/>
  <c r="F400" i="56"/>
  <c r="E400" i="56"/>
  <c r="E402" i="56"/>
  <c r="N24" i="56" l="1"/>
  <c r="N29" i="56" s="1"/>
  <c r="H442" i="3" l="1"/>
  <c r="I442" i="3"/>
  <c r="J442" i="3"/>
  <c r="K442" i="3"/>
  <c r="L442" i="3"/>
  <c r="M442" i="3"/>
  <c r="D35" i="28"/>
  <c r="D16" i="25"/>
  <c r="E16" i="25"/>
  <c r="F16" i="25"/>
  <c r="C16" i="25"/>
  <c r="B155" i="27"/>
  <c r="C27" i="30"/>
  <c r="AU96" i="27"/>
  <c r="G60" i="2"/>
  <c r="AQ99" i="27" l="1"/>
  <c r="AQ108" i="27"/>
  <c r="AQ107" i="27"/>
  <c r="AV95" i="27" a="1"/>
  <c r="AV95" i="27" s="1"/>
  <c r="AR95" i="27" a="1"/>
  <c r="AR95" i="27" s="1"/>
  <c r="N26" i="56"/>
  <c r="H9" i="56"/>
  <c r="I9" i="56"/>
  <c r="J9" i="56"/>
  <c r="K9" i="56"/>
  <c r="L9" i="56"/>
  <c r="M9" i="56"/>
  <c r="G9" i="56"/>
  <c r="AR106" i="27" l="1" a="1"/>
  <c r="AR106" i="27" s="1"/>
  <c r="AV106" i="27" a="1"/>
  <c r="AV106" i="27" s="1"/>
  <c r="AT106" i="27" s="1"/>
  <c r="F71" i="2" s="1"/>
  <c r="N172" i="56" s="1"/>
  <c r="AS106" i="27" a="1"/>
  <c r="AS106" i="27" s="1"/>
  <c r="H477" i="56"/>
  <c r="J477" i="56"/>
  <c r="I477" i="56"/>
  <c r="G477" i="56"/>
  <c r="M346" i="56"/>
  <c r="M477" i="56"/>
  <c r="L477" i="56"/>
  <c r="K477" i="56"/>
  <c r="AV108" i="27" a="1"/>
  <c r="AV108" i="27" s="1"/>
  <c r="AV107" i="27" a="1"/>
  <c r="AV107" i="27" s="1"/>
  <c r="AV105" i="27" a="1"/>
  <c r="AV105" i="27" s="1"/>
  <c r="AV104" i="27" a="1"/>
  <c r="AV104" i="27" s="1"/>
  <c r="AV103" i="27" a="1"/>
  <c r="AV103" i="27" s="1"/>
  <c r="AV102" i="27" a="1"/>
  <c r="AV102" i="27" s="1"/>
  <c r="AV101" i="27" a="1"/>
  <c r="AV101" i="27" s="1"/>
  <c r="AV99" i="27" a="1"/>
  <c r="AV99" i="27" s="1"/>
  <c r="AV96" i="27" a="1"/>
  <c r="AV96" i="27" s="1"/>
  <c r="AV93" i="27" a="1"/>
  <c r="AV93" i="27" s="1"/>
  <c r="AR101" i="27" a="1"/>
  <c r="AR101" i="27" s="1"/>
  <c r="E66" i="2" s="1"/>
  <c r="AS101" i="27" a="1"/>
  <c r="AS101" i="27" s="1"/>
  <c r="AR102" i="27" a="1"/>
  <c r="AR102" i="27" s="1"/>
  <c r="E67" i="2" s="1"/>
  <c r="AS102" i="27" a="1"/>
  <c r="AS102" i="27" s="1"/>
  <c r="AR103" i="27" a="1"/>
  <c r="AR103" i="27" s="1"/>
  <c r="E68" i="2" s="1"/>
  <c r="AS103" i="27" a="1"/>
  <c r="AS103" i="27" s="1"/>
  <c r="AR104" i="27" a="1"/>
  <c r="AR104" i="27" s="1"/>
  <c r="E69" i="2" s="1"/>
  <c r="AS104" i="27" a="1"/>
  <c r="AS104" i="27" s="1"/>
  <c r="AR105" i="27" a="1"/>
  <c r="AR105" i="27" s="1"/>
  <c r="E70" i="2" s="1"/>
  <c r="AS105" i="27" a="1"/>
  <c r="AS105" i="27" s="1"/>
  <c r="AR107" i="27" a="1"/>
  <c r="AR107" i="27" s="1"/>
  <c r="E72" i="2" s="1"/>
  <c r="AS107" i="27" a="1"/>
  <c r="AS107" i="27" s="1"/>
  <c r="AR108" i="27" a="1"/>
  <c r="AR108" i="27" s="1"/>
  <c r="E73" i="2" s="1"/>
  <c r="AS108" i="27" a="1"/>
  <c r="AS108" i="27" s="1"/>
  <c r="AR99" i="27" a="1"/>
  <c r="AR99" i="27" s="1"/>
  <c r="E64" i="2" s="1"/>
  <c r="AR96" i="27" a="1"/>
  <c r="AR96" i="27" s="1"/>
  <c r="AR93" i="27" a="1"/>
  <c r="AR93" i="27" s="1"/>
  <c r="AV86" i="27" a="1"/>
  <c r="AV86" i="27" s="1"/>
  <c r="AV84" i="27" a="1"/>
  <c r="AV84" i="27" s="1"/>
  <c r="AR84" i="27" a="1"/>
  <c r="AR84" i="27" s="1"/>
  <c r="AR86" i="27" a="1"/>
  <c r="AR86" i="27" s="1"/>
  <c r="AV83" i="27" a="1"/>
  <c r="AV83" i="27" s="1"/>
  <c r="AR83" i="27" a="1"/>
  <c r="AR83" i="27" s="1"/>
  <c r="AS71" i="27"/>
  <c r="AS96" i="27" s="1" a="1"/>
  <c r="AS96" i="27" s="1"/>
  <c r="AS70" i="27"/>
  <c r="AS99" i="27" s="1" a="1"/>
  <c r="AS99" i="27" s="1"/>
  <c r="AS69" i="27"/>
  <c r="AS86" i="27" s="1" a="1"/>
  <c r="AS86" i="27" s="1"/>
  <c r="AS68" i="27"/>
  <c r="AS95" i="27" s="1" a="1"/>
  <c r="AS95" i="27" s="1"/>
  <c r="I430" i="3" l="1"/>
  <c r="L430" i="3"/>
  <c r="H430" i="3"/>
  <c r="E71" i="2"/>
  <c r="G430" i="3"/>
  <c r="K430" i="3"/>
  <c r="J430" i="3"/>
  <c r="M430" i="3"/>
  <c r="AS83" i="27" a="1"/>
  <c r="AS83" i="27" s="1"/>
  <c r="AS84" i="27" a="1"/>
  <c r="AS84" i="27" s="1"/>
  <c r="AS93" i="27" a="1"/>
  <c r="AS93" i="27" s="1"/>
  <c r="J346" i="3"/>
  <c r="L346" i="3"/>
  <c r="M346" i="3"/>
  <c r="G346" i="3"/>
  <c r="H346" i="3"/>
  <c r="K346" i="3"/>
  <c r="I346" i="3"/>
  <c r="H397" i="3"/>
  <c r="K397" i="3"/>
  <c r="M397" i="3"/>
  <c r="I397" i="3"/>
  <c r="L397" i="3"/>
  <c r="G397" i="3"/>
  <c r="J397" i="3"/>
  <c r="H374" i="3"/>
  <c r="J374" i="3"/>
  <c r="K374" i="3"/>
  <c r="M374" i="3"/>
  <c r="G374" i="3"/>
  <c r="I374" i="3"/>
  <c r="L374" i="3"/>
  <c r="H428" i="3"/>
  <c r="I428" i="3"/>
  <c r="J428" i="3"/>
  <c r="K428" i="3"/>
  <c r="L428" i="3"/>
  <c r="M428" i="3"/>
  <c r="G428" i="3"/>
  <c r="K441" i="3"/>
  <c r="M441" i="3"/>
  <c r="H441" i="3"/>
  <c r="I441" i="3"/>
  <c r="J441" i="3"/>
  <c r="L441" i="3"/>
  <c r="G441" i="3"/>
  <c r="H426" i="3"/>
  <c r="L426" i="3"/>
  <c r="G426" i="3"/>
  <c r="I426" i="3"/>
  <c r="K426" i="3"/>
  <c r="M426" i="3"/>
  <c r="J426" i="3"/>
  <c r="N93" i="56"/>
  <c r="F199" i="56" l="1"/>
  <c r="F159" i="2" l="1"/>
  <c r="F150" i="2"/>
  <c r="F323" i="2" l="1"/>
  <c r="E394" i="56"/>
  <c r="F394" i="56"/>
  <c r="E395" i="56"/>
  <c r="F395" i="56"/>
  <c r="E396" i="56"/>
  <c r="F396" i="56"/>
  <c r="F393" i="56"/>
  <c r="E393" i="56"/>
  <c r="E387" i="56"/>
  <c r="F387" i="56"/>
  <c r="E388" i="56"/>
  <c r="F388" i="56"/>
  <c r="E389" i="56"/>
  <c r="F389" i="56"/>
  <c r="F386" i="56"/>
  <c r="E386" i="56"/>
  <c r="E381" i="56"/>
  <c r="F381" i="56"/>
  <c r="E374" i="56"/>
  <c r="F374" i="56"/>
  <c r="E367" i="56"/>
  <c r="F367" i="56"/>
  <c r="F359" i="56"/>
  <c r="E351" i="56"/>
  <c r="F351" i="56"/>
  <c r="E338" i="56"/>
  <c r="F338" i="56"/>
  <c r="E342" i="56"/>
  <c r="F342" i="56"/>
  <c r="E333" i="56"/>
  <c r="F333" i="56"/>
  <c r="E323" i="56"/>
  <c r="F323" i="56"/>
  <c r="E316" i="56"/>
  <c r="F316" i="56"/>
  <c r="E309" i="56"/>
  <c r="F309" i="56"/>
  <c r="E302" i="56"/>
  <c r="F302" i="56"/>
  <c r="E295" i="56"/>
  <c r="F295" i="56"/>
  <c r="E288" i="56"/>
  <c r="F288" i="56"/>
  <c r="E280" i="56"/>
  <c r="F280" i="56"/>
  <c r="E272" i="56"/>
  <c r="F272" i="56"/>
  <c r="E265" i="56"/>
  <c r="F265" i="56"/>
  <c r="E257" i="56"/>
  <c r="F257" i="56"/>
  <c r="E250" i="56"/>
  <c r="F250" i="56"/>
  <c r="E242" i="56"/>
  <c r="F242" i="56"/>
  <c r="E235" i="56"/>
  <c r="F235" i="56"/>
  <c r="N389" i="56" l="1"/>
  <c r="N396" i="56" a="1"/>
  <c r="N396" i="56" s="1"/>
  <c r="N333" i="56"/>
  <c r="N265" i="56" a="1"/>
  <c r="N265" i="56" s="1"/>
  <c r="E225" i="56"/>
  <c r="F225" i="56"/>
  <c r="E215" i="56"/>
  <c r="F215" i="56"/>
  <c r="F154" i="2"/>
  <c r="F145" i="2"/>
  <c r="F206" i="56" l="1"/>
  <c r="E206" i="56"/>
  <c r="E199" i="56"/>
  <c r="E135" i="52" l="1"/>
  <c r="G246" i="3"/>
  <c r="AU134" i="27" l="1"/>
  <c r="AU135" i="27"/>
  <c r="AU136" i="27"/>
  <c r="AU137" i="27"/>
  <c r="AU133" i="27"/>
  <c r="N176" i="56"/>
  <c r="H145" i="49" l="1"/>
  <c r="I145" i="49"/>
  <c r="J145" i="49"/>
  <c r="K145" i="49"/>
  <c r="L145" i="49"/>
  <c r="M145" i="49"/>
  <c r="H146" i="49"/>
  <c r="I146" i="49"/>
  <c r="J146" i="49"/>
  <c r="K146" i="49"/>
  <c r="L146" i="49"/>
  <c r="M146" i="49"/>
  <c r="G146" i="49"/>
  <c r="G145" i="49"/>
  <c r="H136" i="49"/>
  <c r="I136" i="49"/>
  <c r="J136" i="49"/>
  <c r="K136" i="49"/>
  <c r="L136" i="49"/>
  <c r="M136" i="49"/>
  <c r="G136" i="49"/>
  <c r="H137" i="49"/>
  <c r="I137" i="49"/>
  <c r="J137" i="49"/>
  <c r="K137" i="49"/>
  <c r="L137" i="49"/>
  <c r="M137" i="49"/>
  <c r="G137" i="49"/>
  <c r="B147" i="27" l="1"/>
  <c r="B148" i="27"/>
  <c r="B149" i="27"/>
  <c r="B143" i="27"/>
  <c r="B144" i="27"/>
  <c r="B145" i="27"/>
  <c r="B146" i="27"/>
  <c r="H429" i="3"/>
  <c r="I429" i="3"/>
  <c r="J429" i="3"/>
  <c r="K429" i="3"/>
  <c r="L429" i="3"/>
  <c r="M429" i="3"/>
  <c r="G429" i="3"/>
  <c r="H400" i="3"/>
  <c r="I400" i="3"/>
  <c r="J400" i="3"/>
  <c r="K400" i="3"/>
  <c r="L400" i="3"/>
  <c r="M400" i="3"/>
  <c r="G400" i="3"/>
  <c r="H399" i="3"/>
  <c r="I399" i="3"/>
  <c r="J399" i="3"/>
  <c r="K399" i="3"/>
  <c r="L399" i="3"/>
  <c r="L135" i="14" s="1"/>
  <c r="M399" i="3"/>
  <c r="M135" i="14" s="1"/>
  <c r="G135" i="14"/>
  <c r="J401" i="3" l="1"/>
  <c r="K401" i="3"/>
  <c r="G401" i="3"/>
  <c r="I401" i="3"/>
  <c r="M401" i="3"/>
  <c r="L401" i="3"/>
  <c r="H401" i="3"/>
  <c r="K135" i="14"/>
  <c r="J135" i="14"/>
  <c r="I135" i="14"/>
  <c r="H135" i="14"/>
  <c r="H350" i="3"/>
  <c r="I350" i="3"/>
  <c r="J350" i="3"/>
  <c r="K350" i="3"/>
  <c r="L350" i="3"/>
  <c r="M350" i="3"/>
  <c r="G350" i="3"/>
  <c r="N148" i="56"/>
  <c r="N149" i="56"/>
  <c r="N150" i="56"/>
  <c r="N221" i="56"/>
  <c r="AI55" i="53" l="1"/>
  <c r="I11" i="57" l="1"/>
  <c r="H11" i="57"/>
  <c r="G11" i="57"/>
  <c r="E321" i="56"/>
  <c r="H164" i="14" l="1"/>
  <c r="I164" i="14"/>
  <c r="J164" i="14"/>
  <c r="K164" i="14"/>
  <c r="L164" i="14"/>
  <c r="M164" i="14"/>
  <c r="G164" i="14"/>
  <c r="H25" i="14"/>
  <c r="I25" i="14"/>
  <c r="J25" i="14"/>
  <c r="K25" i="14"/>
  <c r="L25" i="14"/>
  <c r="M25" i="14"/>
  <c r="H28" i="14"/>
  <c r="I28" i="14"/>
  <c r="J28" i="14"/>
  <c r="K28" i="14"/>
  <c r="L28" i="14"/>
  <c r="M28" i="14"/>
  <c r="E181" i="14"/>
  <c r="E182" i="14"/>
  <c r="E183" i="14"/>
  <c r="E184" i="14"/>
  <c r="M68" i="14" l="1"/>
  <c r="L68" i="14"/>
  <c r="K68" i="14"/>
  <c r="J68" i="14"/>
  <c r="I68" i="14"/>
  <c r="H68" i="14"/>
  <c r="G68" i="14"/>
  <c r="M65" i="14"/>
  <c r="L65" i="14"/>
  <c r="K65" i="14"/>
  <c r="J65" i="14"/>
  <c r="I65" i="14"/>
  <c r="H65" i="14"/>
  <c r="G65" i="14"/>
  <c r="N319" i="56"/>
  <c r="E211" i="56"/>
  <c r="E212" i="56"/>
  <c r="F212" i="56"/>
  <c r="E213" i="56"/>
  <c r="F213" i="56"/>
  <c r="E214" i="56"/>
  <c r="F214" i="56"/>
  <c r="E221" i="56"/>
  <c r="E222" i="56"/>
  <c r="F222" i="56"/>
  <c r="E223" i="56"/>
  <c r="F223" i="56"/>
  <c r="E224" i="56"/>
  <c r="F224" i="56"/>
  <c r="E196" i="56"/>
  <c r="F196" i="56"/>
  <c r="E197" i="56"/>
  <c r="F197" i="56"/>
  <c r="E198" i="56"/>
  <c r="F198" i="56"/>
  <c r="E203" i="56"/>
  <c r="F203" i="56"/>
  <c r="E204" i="56"/>
  <c r="F204" i="56"/>
  <c r="E205" i="56"/>
  <c r="F205" i="56"/>
  <c r="E232" i="56"/>
  <c r="F232" i="56"/>
  <c r="E233" i="56"/>
  <c r="F233" i="56"/>
  <c r="E234" i="56"/>
  <c r="F234" i="56"/>
  <c r="E239" i="56"/>
  <c r="F239" i="56"/>
  <c r="E240" i="56"/>
  <c r="F240" i="56"/>
  <c r="E241" i="56"/>
  <c r="F241" i="56"/>
  <c r="E247" i="56"/>
  <c r="F247" i="56"/>
  <c r="E248" i="56"/>
  <c r="F248" i="56"/>
  <c r="E249" i="56"/>
  <c r="F249" i="56"/>
  <c r="E254" i="56"/>
  <c r="F254" i="56"/>
  <c r="E255" i="56"/>
  <c r="F255" i="56"/>
  <c r="E256" i="56"/>
  <c r="F256" i="56"/>
  <c r="E262" i="56"/>
  <c r="F262" i="56"/>
  <c r="E263" i="56"/>
  <c r="F263" i="56"/>
  <c r="E264" i="56"/>
  <c r="F264" i="56"/>
  <c r="E269" i="56"/>
  <c r="F269" i="56"/>
  <c r="E270" i="56"/>
  <c r="F270" i="56"/>
  <c r="E271" i="56"/>
  <c r="F271" i="56"/>
  <c r="E277" i="56"/>
  <c r="F277" i="56"/>
  <c r="E278" i="56"/>
  <c r="F278" i="56"/>
  <c r="E279" i="56"/>
  <c r="F279" i="56"/>
  <c r="E284" i="56"/>
  <c r="F284" i="56"/>
  <c r="E285" i="56"/>
  <c r="F285" i="56"/>
  <c r="E286" i="56"/>
  <c r="F286" i="56"/>
  <c r="E287" i="56"/>
  <c r="F287" i="56"/>
  <c r="E292" i="56"/>
  <c r="F292" i="56"/>
  <c r="E293" i="56"/>
  <c r="F293" i="56"/>
  <c r="E294" i="56"/>
  <c r="F294" i="56"/>
  <c r="E299" i="56"/>
  <c r="F299" i="56"/>
  <c r="E300" i="56"/>
  <c r="F300" i="56"/>
  <c r="E301" i="56"/>
  <c r="F301" i="56"/>
  <c r="E306" i="56"/>
  <c r="F306" i="56"/>
  <c r="E307" i="56"/>
  <c r="F307" i="56"/>
  <c r="E308" i="56"/>
  <c r="F308" i="56"/>
  <c r="E313" i="56"/>
  <c r="F313" i="56"/>
  <c r="E314" i="56"/>
  <c r="F314" i="56"/>
  <c r="E315" i="56"/>
  <c r="F315" i="56"/>
  <c r="E320" i="56"/>
  <c r="F320" i="56"/>
  <c r="F321" i="56"/>
  <c r="E322" i="56"/>
  <c r="F322" i="56"/>
  <c r="E329" i="56"/>
  <c r="F329" i="56"/>
  <c r="E330" i="56"/>
  <c r="F330" i="56"/>
  <c r="E331" i="56"/>
  <c r="F331" i="56"/>
  <c r="E332" i="56"/>
  <c r="F332" i="56"/>
  <c r="E339" i="56"/>
  <c r="F339" i="56"/>
  <c r="E340" i="56"/>
  <c r="F340" i="56"/>
  <c r="E341" i="56"/>
  <c r="F341" i="56"/>
  <c r="E347" i="56"/>
  <c r="F347" i="56"/>
  <c r="E348" i="56"/>
  <c r="F348" i="56"/>
  <c r="E349" i="56"/>
  <c r="F349" i="56"/>
  <c r="E350" i="56"/>
  <c r="F350" i="56"/>
  <c r="F356" i="56"/>
  <c r="F357" i="56"/>
  <c r="F358" i="56"/>
  <c r="E364" i="56"/>
  <c r="F364" i="56"/>
  <c r="E365" i="56"/>
  <c r="F365" i="56"/>
  <c r="E366" i="56"/>
  <c r="F366" i="56"/>
  <c r="E371" i="56"/>
  <c r="F371" i="56"/>
  <c r="E372" i="56"/>
  <c r="F372" i="56"/>
  <c r="E373" i="56"/>
  <c r="F373" i="56"/>
  <c r="E378" i="56"/>
  <c r="F378" i="56"/>
  <c r="E379" i="56"/>
  <c r="F379" i="56"/>
  <c r="E380" i="56"/>
  <c r="F380" i="56"/>
  <c r="N323" i="56" l="1" a="1"/>
  <c r="N323" i="56" s="1"/>
  <c r="N418" i="56" l="1"/>
  <c r="Y55" i="53" l="1"/>
  <c r="H95" i="3"/>
  <c r="I95" i="3"/>
  <c r="J95" i="3"/>
  <c r="K95" i="3"/>
  <c r="L95" i="3"/>
  <c r="M95" i="3"/>
  <c r="G95" i="3"/>
  <c r="H80" i="3"/>
  <c r="I80" i="3"/>
  <c r="J80" i="3"/>
  <c r="K80" i="3"/>
  <c r="L80" i="3"/>
  <c r="M80" i="3"/>
  <c r="G80" i="3"/>
  <c r="H76" i="3"/>
  <c r="I76" i="3"/>
  <c r="J76" i="3"/>
  <c r="K76" i="3"/>
  <c r="L76" i="3"/>
  <c r="M76" i="3"/>
  <c r="H77" i="3"/>
  <c r="I77" i="3"/>
  <c r="J77" i="3"/>
  <c r="K77" i="3"/>
  <c r="L77" i="3"/>
  <c r="M77" i="3"/>
  <c r="G77" i="3"/>
  <c r="G76" i="3"/>
  <c r="H307" i="3"/>
  <c r="I307" i="3"/>
  <c r="J307" i="3"/>
  <c r="K307" i="3"/>
  <c r="L307" i="3"/>
  <c r="M307" i="3"/>
  <c r="G307" i="3"/>
  <c r="H306" i="3"/>
  <c r="I306" i="3"/>
  <c r="J306" i="3"/>
  <c r="K306" i="3"/>
  <c r="L306" i="3"/>
  <c r="M306" i="3"/>
  <c r="G306" i="3"/>
  <c r="G305" i="3"/>
  <c r="D58" i="28" l="1"/>
  <c r="AS35" i="53"/>
  <c r="N131" i="56"/>
  <c r="E137" i="52" l="1"/>
  <c r="E122" i="52"/>
  <c r="H92" i="3"/>
  <c r="I92" i="3"/>
  <c r="J92" i="3"/>
  <c r="K92" i="3"/>
  <c r="L92" i="3"/>
  <c r="M92" i="3"/>
  <c r="H93" i="3"/>
  <c r="I93" i="3"/>
  <c r="J93" i="3"/>
  <c r="K93" i="3"/>
  <c r="L93" i="3"/>
  <c r="M93" i="3"/>
  <c r="G93" i="3"/>
  <c r="G92" i="3"/>
  <c r="H256" i="3"/>
  <c r="I256" i="3"/>
  <c r="J256" i="3"/>
  <c r="K256" i="3"/>
  <c r="L256" i="3"/>
  <c r="M256" i="3"/>
  <c r="H257" i="3"/>
  <c r="I257" i="3"/>
  <c r="J257" i="3"/>
  <c r="K257" i="3"/>
  <c r="L257" i="3"/>
  <c r="M257" i="3"/>
  <c r="H258" i="3"/>
  <c r="I258" i="3"/>
  <c r="J258" i="3"/>
  <c r="K258" i="3"/>
  <c r="L258" i="3"/>
  <c r="M258" i="3"/>
  <c r="H259" i="3"/>
  <c r="I259" i="3"/>
  <c r="J259" i="3"/>
  <c r="K259" i="3"/>
  <c r="L259" i="3"/>
  <c r="M259" i="3"/>
  <c r="H260" i="3"/>
  <c r="I260" i="3"/>
  <c r="J260" i="3"/>
  <c r="K260" i="3"/>
  <c r="L260" i="3"/>
  <c r="M260" i="3"/>
  <c r="H261" i="3"/>
  <c r="I261" i="3"/>
  <c r="J261" i="3"/>
  <c r="K261" i="3"/>
  <c r="L261" i="3"/>
  <c r="M261" i="3"/>
  <c r="H262" i="3"/>
  <c r="I262" i="3"/>
  <c r="J262" i="3"/>
  <c r="K262" i="3"/>
  <c r="L262" i="3"/>
  <c r="M262" i="3"/>
  <c r="H263" i="3"/>
  <c r="I263" i="3"/>
  <c r="J263" i="3"/>
  <c r="K263" i="3"/>
  <c r="L263" i="3"/>
  <c r="M263" i="3"/>
  <c r="G258" i="3"/>
  <c r="G256" i="3"/>
  <c r="G263" i="3"/>
  <c r="G262" i="3"/>
  <c r="G261" i="3"/>
  <c r="G260" i="3"/>
  <c r="H161" i="14"/>
  <c r="I161" i="14"/>
  <c r="J161" i="14"/>
  <c r="K161" i="14"/>
  <c r="L161" i="14"/>
  <c r="H162" i="14"/>
  <c r="I162" i="14"/>
  <c r="J162" i="14"/>
  <c r="K162" i="14"/>
  <c r="L162" i="14"/>
  <c r="M162" i="14"/>
  <c r="G162" i="14"/>
  <c r="G161" i="14"/>
  <c r="F112" i="56"/>
  <c r="H391" i="3" l="1"/>
  <c r="H392" i="3" s="1"/>
  <c r="I391" i="3"/>
  <c r="I392" i="3" s="1"/>
  <c r="J391" i="3"/>
  <c r="J392" i="3" s="1"/>
  <c r="K391" i="3"/>
  <c r="K392" i="3" s="1"/>
  <c r="L391" i="3"/>
  <c r="L392" i="3" s="1"/>
  <c r="M391" i="3"/>
  <c r="M392" i="3" s="1"/>
  <c r="G391" i="3"/>
  <c r="G392" i="3" s="1"/>
  <c r="H390" i="3"/>
  <c r="I390" i="3"/>
  <c r="J390" i="3"/>
  <c r="K390" i="3"/>
  <c r="L390" i="3"/>
  <c r="M390" i="3"/>
  <c r="H383" i="3"/>
  <c r="I383" i="3"/>
  <c r="J383" i="3"/>
  <c r="K383" i="3"/>
  <c r="L383" i="3"/>
  <c r="M383" i="3"/>
  <c r="H385" i="3"/>
  <c r="I385" i="3"/>
  <c r="J385" i="3"/>
  <c r="K385" i="3"/>
  <c r="L385" i="3"/>
  <c r="M385" i="3"/>
  <c r="H389" i="3"/>
  <c r="I389" i="3"/>
  <c r="J389" i="3"/>
  <c r="K389" i="3"/>
  <c r="L389" i="3"/>
  <c r="M389" i="3"/>
  <c r="G389" i="3"/>
  <c r="H381" i="3"/>
  <c r="I381" i="3"/>
  <c r="J381" i="3"/>
  <c r="K381" i="3"/>
  <c r="L381" i="3"/>
  <c r="M381" i="3"/>
  <c r="B76" i="27"/>
  <c r="B77" i="27"/>
  <c r="Z198" i="4" l="1"/>
  <c r="G390" i="3"/>
  <c r="C155" i="4" l="1"/>
  <c r="E484" i="56"/>
  <c r="B163" i="27"/>
  <c r="D162" i="27" s="1" a="1"/>
  <c r="D162" i="27" s="1"/>
  <c r="CQ1" i="30"/>
  <c r="E474" i="56"/>
  <c r="C107" i="28" s="1"/>
  <c r="D403" i="56" l="1"/>
  <c r="J512" i="3"/>
  <c r="K512" i="3"/>
  <c r="L512" i="3"/>
  <c r="M512" i="3"/>
  <c r="G512" i="3"/>
  <c r="H512" i="3"/>
  <c r="I512" i="3"/>
  <c r="B178" i="57"/>
  <c r="B6" i="57"/>
  <c r="B534" i="57"/>
  <c r="N355" i="56"/>
  <c r="D402" i="56"/>
  <c r="D401" i="56"/>
  <c r="C111" i="28"/>
  <c r="N25" i="56"/>
  <c r="N30" i="56"/>
  <c r="N377" i="56"/>
  <c r="N381" i="56" s="1" a="1"/>
  <c r="N381" i="56" s="1"/>
  <c r="E15" i="57"/>
  <c r="D395" i="56"/>
  <c r="G476" i="56"/>
  <c r="D224" i="56"/>
  <c r="D198" i="56"/>
  <c r="D205" i="56"/>
  <c r="D234" i="56"/>
  <c r="D241" i="56"/>
  <c r="D249" i="56"/>
  <c r="D256" i="56"/>
  <c r="D264" i="56"/>
  <c r="D271" i="56"/>
  <c r="D279" i="56"/>
  <c r="D331" i="56"/>
  <c r="D340" i="56"/>
  <c r="D350" i="56"/>
  <c r="D300" i="56"/>
  <c r="C118" i="28"/>
  <c r="D322" i="56"/>
  <c r="N322" i="56" s="1" a="1"/>
  <c r="N322" i="56" s="1"/>
  <c r="D358" i="56"/>
  <c r="D286" i="56"/>
  <c r="D287" i="56"/>
  <c r="D294" i="56"/>
  <c r="D301" i="56"/>
  <c r="D308" i="56"/>
  <c r="D315" i="56"/>
  <c r="D349" i="56"/>
  <c r="D357" i="56"/>
  <c r="D365" i="56"/>
  <c r="D372" i="56"/>
  <c r="D379" i="56"/>
  <c r="D366" i="56"/>
  <c r="D307" i="56"/>
  <c r="D332" i="56"/>
  <c r="D341" i="56"/>
  <c r="D388" i="56"/>
  <c r="D213" i="56"/>
  <c r="D380" i="56"/>
  <c r="D314" i="56"/>
  <c r="D223" i="56"/>
  <c r="D197" i="56"/>
  <c r="D204" i="56"/>
  <c r="D233" i="56"/>
  <c r="D240" i="56"/>
  <c r="D248" i="56"/>
  <c r="D255" i="56"/>
  <c r="D263" i="56"/>
  <c r="D270" i="56"/>
  <c r="D278" i="56"/>
  <c r="D373" i="56"/>
  <c r="D214" i="56"/>
  <c r="D321" i="56"/>
  <c r="N321" i="56" s="1" a="1"/>
  <c r="N321" i="56" s="1"/>
  <c r="D293" i="56"/>
  <c r="B484" i="56" a="1"/>
  <c r="B484" i="56" s="1"/>
  <c r="C162" i="27" a="1"/>
  <c r="C162" i="27" s="1"/>
  <c r="B50" i="22" s="1"/>
  <c r="E486" i="56"/>
  <c r="E14" i="55"/>
  <c r="D143" i="4"/>
  <c r="E492" i="56"/>
  <c r="E23" i="57" s="1"/>
  <c r="C154" i="27" a="1"/>
  <c r="C154" i="27" s="1"/>
  <c r="N420" i="56"/>
  <c r="N421" i="56"/>
  <c r="N423" i="56"/>
  <c r="N424" i="56"/>
  <c r="B514" i="56"/>
  <c r="B135" i="27"/>
  <c r="B136" i="27"/>
  <c r="B137" i="27"/>
  <c r="B141" i="27"/>
  <c r="B142" i="27"/>
  <c r="B134" i="27"/>
  <c r="A134" i="27"/>
  <c r="F509" i="3"/>
  <c r="F510" i="3" s="1"/>
  <c r="N532" i="56" l="1"/>
  <c r="N533" i="56" s="1"/>
  <c r="B49" i="22"/>
  <c r="N637" i="56"/>
  <c r="N638" i="56" s="1"/>
  <c r="F118" i="2"/>
  <c r="F121" i="2"/>
  <c r="F117" i="2"/>
  <c r="N27" i="56"/>
  <c r="N457" i="56" s="1"/>
  <c r="N463" i="56" s="1"/>
  <c r="N604" i="56" s="1"/>
  <c r="E490" i="56"/>
  <c r="E21" i="57" s="1"/>
  <c r="B486" i="56" a="1"/>
  <c r="B486" i="56" s="1"/>
  <c r="B17" i="57" s="1"/>
  <c r="E17" i="57"/>
  <c r="B143" i="4"/>
  <c r="B15" i="57"/>
  <c r="B14" i="55"/>
  <c r="E491" i="56"/>
  <c r="D145" i="4"/>
  <c r="E16" i="55"/>
  <c r="E22" i="55"/>
  <c r="D151" i="4"/>
  <c r="N644" i="56"/>
  <c r="A135" i="27"/>
  <c r="A136" i="27"/>
  <c r="F511" i="3"/>
  <c r="F512" i="3" s="1"/>
  <c r="B175" i="25"/>
  <c r="B174" i="25"/>
  <c r="B173" i="25"/>
  <c r="B172" i="25"/>
  <c r="B127" i="25"/>
  <c r="B126" i="25"/>
  <c r="B125" i="25"/>
  <c r="B124" i="25"/>
  <c r="B151" i="25"/>
  <c r="B150" i="25"/>
  <c r="B149" i="25"/>
  <c r="B148" i="25"/>
  <c r="B99" i="56"/>
  <c r="F513" i="3" l="1"/>
  <c r="A138" i="27"/>
  <c r="K184" i="57"/>
  <c r="G184" i="57"/>
  <c r="L184" i="57"/>
  <c r="M184" i="57"/>
  <c r="I184" i="57"/>
  <c r="J184" i="57"/>
  <c r="H184" i="57"/>
  <c r="K97" i="55"/>
  <c r="H97" i="55"/>
  <c r="L97" i="55"/>
  <c r="M97" i="55"/>
  <c r="J97" i="55"/>
  <c r="I97" i="55"/>
  <c r="G97" i="55"/>
  <c r="E20" i="55"/>
  <c r="D149" i="4"/>
  <c r="E21" i="55"/>
  <c r="E22" i="57"/>
  <c r="D150" i="4"/>
  <c r="B16" i="55"/>
  <c r="B145" i="4"/>
  <c r="A137" i="27"/>
  <c r="N430" i="56"/>
  <c r="A139" i="27" l="1"/>
  <c r="F516" i="3"/>
  <c r="F517" i="3" s="1"/>
  <c r="H180" i="57"/>
  <c r="K180" i="57"/>
  <c r="L180" i="57"/>
  <c r="M180" i="57"/>
  <c r="I180" i="57"/>
  <c r="J180" i="57"/>
  <c r="G180" i="57"/>
  <c r="K181" i="57"/>
  <c r="J181" i="57"/>
  <c r="H181" i="57"/>
  <c r="G181" i="57"/>
  <c r="I181" i="57"/>
  <c r="L181" i="57"/>
  <c r="M181" i="57"/>
  <c r="A143" i="27"/>
  <c r="F518" i="3"/>
  <c r="A144" i="27" s="1"/>
  <c r="H64" i="55"/>
  <c r="I64" i="55"/>
  <c r="J64" i="55"/>
  <c r="K64" i="55"/>
  <c r="L64" i="55"/>
  <c r="M64" i="55"/>
  <c r="A142" i="27"/>
  <c r="N327" i="56"/>
  <c r="N431" i="56"/>
  <c r="N411" i="56"/>
  <c r="G183" i="56"/>
  <c r="D64" i="25"/>
  <c r="D57" i="25"/>
  <c r="B61" i="25" s="1"/>
  <c r="D50" i="25"/>
  <c r="B53" i="25" s="1"/>
  <c r="D43" i="25"/>
  <c r="B25" i="25"/>
  <c r="B24" i="25"/>
  <c r="G12" i="22"/>
  <c r="E209" i="49"/>
  <c r="E199" i="49"/>
  <c r="E198" i="49"/>
  <c r="E197" i="49"/>
  <c r="E196" i="49"/>
  <c r="E195" i="49"/>
  <c r="E194" i="49"/>
  <c r="E186" i="49"/>
  <c r="E185"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M24" i="49"/>
  <c r="L24" i="49"/>
  <c r="K24" i="49"/>
  <c r="J24" i="49"/>
  <c r="I24" i="49"/>
  <c r="H24" i="49"/>
  <c r="G24" i="49"/>
  <c r="G10" i="55"/>
  <c r="B124" i="27"/>
  <c r="F124" i="27" s="1"/>
  <c r="A123" i="27"/>
  <c r="B123" i="27" s="1"/>
  <c r="F123" i="27" s="1"/>
  <c r="A122" i="27"/>
  <c r="B122" i="27" s="1"/>
  <c r="G122" i="27" s="1"/>
  <c r="Q120" i="27"/>
  <c r="Q68" i="27" s="1" a="1"/>
  <c r="Q68" i="27" s="1"/>
  <c r="Q70" i="27" s="1"/>
  <c r="P120" i="27"/>
  <c r="P68" i="27" s="1" a="1"/>
  <c r="P68" i="27" s="1"/>
  <c r="P70" i="27" s="1"/>
  <c r="AU108" i="27"/>
  <c r="G73" i="2" s="1"/>
  <c r="AT107" i="27"/>
  <c r="F72" i="2" s="1"/>
  <c r="AU107" i="27"/>
  <c r="G72" i="2" s="1"/>
  <c r="AU105" i="27"/>
  <c r="AT104" i="27"/>
  <c r="AU104" i="27"/>
  <c r="AT103" i="27"/>
  <c r="AU103" i="27"/>
  <c r="AT102" i="27"/>
  <c r="AU102" i="27"/>
  <c r="AT101" i="27"/>
  <c r="AU101" i="27"/>
  <c r="AU100" i="27"/>
  <c r="AZ100" i="27" s="1"/>
  <c r="AT100" i="27"/>
  <c r="AT99" i="27"/>
  <c r="F64" i="2" s="1"/>
  <c r="AU99" i="27"/>
  <c r="AU97" i="27"/>
  <c r="AZ97" i="27" s="1"/>
  <c r="AT97" i="27"/>
  <c r="F60" i="2"/>
  <c r="AT95" i="27"/>
  <c r="AU95" i="27"/>
  <c r="AU94" i="27"/>
  <c r="AT94" i="27"/>
  <c r="AT93" i="27"/>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AS177" i="27"/>
  <c r="AS176" i="27"/>
  <c r="AS167" i="27"/>
  <c r="AS166" i="27"/>
  <c r="Z199" i="4"/>
  <c r="Z195" i="4"/>
  <c r="G17" i="4"/>
  <c r="F120" i="2"/>
  <c r="F119" i="2"/>
  <c r="G61" i="2"/>
  <c r="F61" i="2"/>
  <c r="G59" i="2"/>
  <c r="G58" i="2"/>
  <c r="F58" i="2"/>
  <c r="G57" i="2"/>
  <c r="G49" i="2"/>
  <c r="G48" i="2"/>
  <c r="F48" i="2"/>
  <c r="G47" i="2"/>
  <c r="F47" i="2"/>
  <c r="G46" i="2"/>
  <c r="F46" i="2"/>
  <c r="G45" i="2"/>
  <c r="F45" i="2"/>
  <c r="G17" i="2"/>
  <c r="F68" i="56" s="1"/>
  <c r="F62" i="56" s="1"/>
  <c r="G16" i="2"/>
  <c r="G15" i="2"/>
  <c r="G14" i="2"/>
  <c r="F65" i="56" s="1"/>
  <c r="G13" i="2"/>
  <c r="G12" i="2"/>
  <c r="C9" i="2"/>
  <c r="B505" i="56"/>
  <c r="B504" i="56"/>
  <c r="B594" i="56"/>
  <c r="B593" i="56"/>
  <c r="N588" i="56"/>
  <c r="G35" i="56"/>
  <c r="M475" i="56"/>
  <c r="L475" i="56"/>
  <c r="K475" i="56"/>
  <c r="J475" i="56"/>
  <c r="I475" i="56"/>
  <c r="H475" i="56"/>
  <c r="G475" i="56"/>
  <c r="H476" i="56"/>
  <c r="N428" i="56"/>
  <c r="N231" i="56"/>
  <c r="N220" i="56"/>
  <c r="B162" i="56"/>
  <c r="F161" i="56"/>
  <c r="B161" i="56"/>
  <c r="F160" i="56"/>
  <c r="B160" i="56"/>
  <c r="F159" i="56"/>
  <c r="F158" i="56"/>
  <c r="F157" i="56"/>
  <c r="F155" i="56"/>
  <c r="B155" i="56"/>
  <c r="B152" i="56"/>
  <c r="B150" i="56"/>
  <c r="B149" i="56"/>
  <c r="B148" i="56"/>
  <c r="B147" i="56"/>
  <c r="B146" i="56"/>
  <c r="B145" i="56"/>
  <c r="B144" i="56"/>
  <c r="B135" i="56"/>
  <c r="B134" i="56"/>
  <c r="B133" i="56"/>
  <c r="B129" i="56"/>
  <c r="B128" i="56"/>
  <c r="B127" i="56"/>
  <c r="B123" i="56"/>
  <c r="B122" i="56"/>
  <c r="B121" i="56"/>
  <c r="F118" i="56"/>
  <c r="B118" i="56"/>
  <c r="F117" i="56"/>
  <c r="B117" i="56"/>
  <c r="F116" i="56"/>
  <c r="B116" i="56"/>
  <c r="F115" i="56"/>
  <c r="B115" i="56"/>
  <c r="F111" i="56"/>
  <c r="B111" i="56"/>
  <c r="F110" i="56"/>
  <c r="B110" i="56"/>
  <c r="F109" i="56"/>
  <c r="B109" i="56"/>
  <c r="F106" i="56"/>
  <c r="B106" i="56"/>
  <c r="F105" i="56"/>
  <c r="B105" i="56"/>
  <c r="F104" i="56"/>
  <c r="B104" i="56"/>
  <c r="F103" i="56"/>
  <c r="B103" i="56"/>
  <c r="B98" i="56"/>
  <c r="B97" i="56"/>
  <c r="B96" i="56"/>
  <c r="B95" i="56"/>
  <c r="B94" i="56"/>
  <c r="B93" i="56"/>
  <c r="B92" i="56"/>
  <c r="B91" i="56"/>
  <c r="B90" i="56"/>
  <c r="B89" i="56"/>
  <c r="B81" i="56"/>
  <c r="B80" i="56"/>
  <c r="B79" i="56"/>
  <c r="B78" i="56"/>
  <c r="B75" i="56"/>
  <c r="B74" i="56"/>
  <c r="B73" i="56"/>
  <c r="B72" i="56"/>
  <c r="B68" i="56"/>
  <c r="B67" i="56"/>
  <c r="B66" i="56"/>
  <c r="B65" i="56"/>
  <c r="B57" i="56"/>
  <c r="B55" i="56"/>
  <c r="B54" i="56"/>
  <c r="B53" i="56"/>
  <c r="B50" i="56"/>
  <c r="B48" i="56"/>
  <c r="B47" i="56"/>
  <c r="B46" i="56"/>
  <c r="H346" i="56"/>
  <c r="G346" i="56"/>
  <c r="E145" i="52"/>
  <c r="E139"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M486" i="3"/>
  <c r="L486" i="3"/>
  <c r="K486" i="3"/>
  <c r="J486" i="3"/>
  <c r="I486" i="3"/>
  <c r="H486" i="3"/>
  <c r="G486" i="3"/>
  <c r="F476" i="3"/>
  <c r="G472" i="3"/>
  <c r="M456" i="3"/>
  <c r="M457" i="3" s="1"/>
  <c r="L456" i="3"/>
  <c r="L457" i="3" s="1"/>
  <c r="K456" i="3"/>
  <c r="K457" i="3" s="1"/>
  <c r="J456" i="3"/>
  <c r="J457" i="3" s="1"/>
  <c r="I456" i="3"/>
  <c r="I457" i="3" s="1"/>
  <c r="H456" i="3"/>
  <c r="H457" i="3" s="1"/>
  <c r="G456" i="3"/>
  <c r="G457" i="3" s="1"/>
  <c r="G442" i="3"/>
  <c r="M420" i="3"/>
  <c r="L420" i="3"/>
  <c r="K420" i="3"/>
  <c r="J420" i="3"/>
  <c r="I420" i="3"/>
  <c r="I66" i="14" s="1"/>
  <c r="H420" i="3"/>
  <c r="G420" i="3"/>
  <c r="M418" i="3"/>
  <c r="L418" i="3"/>
  <c r="K418" i="3"/>
  <c r="J418" i="3"/>
  <c r="I418" i="3"/>
  <c r="H418" i="3"/>
  <c r="G418" i="3"/>
  <c r="G385" i="3"/>
  <c r="G381" i="3"/>
  <c r="M351" i="3"/>
  <c r="L351" i="3"/>
  <c r="K351" i="3"/>
  <c r="J351" i="3"/>
  <c r="I351" i="3"/>
  <c r="H351" i="3"/>
  <c r="G351" i="3"/>
  <c r="M349" i="3"/>
  <c r="L349" i="3"/>
  <c r="K349" i="3"/>
  <c r="J349" i="3"/>
  <c r="I349" i="3"/>
  <c r="H349" i="3"/>
  <c r="G349" i="3"/>
  <c r="M347" i="3"/>
  <c r="L347" i="3"/>
  <c r="K347" i="3"/>
  <c r="J347" i="3"/>
  <c r="I347" i="3"/>
  <c r="H347" i="3"/>
  <c r="G347" i="3"/>
  <c r="M345" i="3"/>
  <c r="L345" i="3"/>
  <c r="K345" i="3"/>
  <c r="J345" i="3"/>
  <c r="I345" i="3"/>
  <c r="H345" i="3"/>
  <c r="G345" i="3"/>
  <c r="M335" i="3"/>
  <c r="M182" i="3" s="1"/>
  <c r="L335" i="3"/>
  <c r="L182" i="3" s="1"/>
  <c r="K335" i="3"/>
  <c r="K182" i="3" s="1"/>
  <c r="J335" i="3"/>
  <c r="J182" i="3" s="1"/>
  <c r="I335" i="3"/>
  <c r="I182" i="3" s="1"/>
  <c r="H335" i="3"/>
  <c r="H182" i="3" s="1"/>
  <c r="G335" i="3"/>
  <c r="G182" i="3" s="1"/>
  <c r="M327" i="3"/>
  <c r="L327" i="3"/>
  <c r="K327" i="3"/>
  <c r="J327" i="3"/>
  <c r="I327" i="3"/>
  <c r="H327" i="3"/>
  <c r="G327" i="3"/>
  <c r="M305" i="3"/>
  <c r="L305" i="3"/>
  <c r="K305" i="3"/>
  <c r="J305" i="3"/>
  <c r="I305" i="3"/>
  <c r="H305" i="3"/>
  <c r="M275" i="3"/>
  <c r="L275" i="3"/>
  <c r="K275" i="3"/>
  <c r="J275" i="3"/>
  <c r="I275" i="3"/>
  <c r="H275" i="3"/>
  <c r="G275" i="3"/>
  <c r="G259" i="3"/>
  <c r="G257" i="3"/>
  <c r="M246" i="3"/>
  <c r="L246" i="3"/>
  <c r="K246" i="3"/>
  <c r="J246" i="3"/>
  <c r="I246" i="3"/>
  <c r="H246" i="3"/>
  <c r="M251" i="3"/>
  <c r="L251" i="3"/>
  <c r="K251" i="3"/>
  <c r="J251" i="3"/>
  <c r="I251" i="3"/>
  <c r="H251" i="3"/>
  <c r="G251" i="3"/>
  <c r="M213" i="3"/>
  <c r="L213" i="3"/>
  <c r="K213" i="3"/>
  <c r="J213" i="3"/>
  <c r="I213" i="3"/>
  <c r="H213" i="3"/>
  <c r="G213" i="3"/>
  <c r="M211" i="3"/>
  <c r="L211" i="3"/>
  <c r="K211" i="3"/>
  <c r="J211" i="3"/>
  <c r="I211" i="3"/>
  <c r="H211" i="3"/>
  <c r="G211" i="3"/>
  <c r="M203" i="3"/>
  <c r="L203" i="3"/>
  <c r="K203" i="3"/>
  <c r="J203" i="3"/>
  <c r="I203" i="3"/>
  <c r="H203" i="3"/>
  <c r="G203" i="3"/>
  <c r="M195" i="3"/>
  <c r="L195" i="3"/>
  <c r="K195" i="3"/>
  <c r="J195" i="3"/>
  <c r="I195" i="3"/>
  <c r="H195" i="3"/>
  <c r="G195" i="3"/>
  <c r="M189" i="3"/>
  <c r="L189" i="3"/>
  <c r="K189" i="3"/>
  <c r="J189" i="3"/>
  <c r="I189" i="3"/>
  <c r="H189" i="3"/>
  <c r="G189" i="3"/>
  <c r="M187" i="3"/>
  <c r="L187" i="3"/>
  <c r="K187" i="3"/>
  <c r="J187" i="3"/>
  <c r="I187" i="3"/>
  <c r="H187" i="3"/>
  <c r="G187" i="3"/>
  <c r="M180" i="3"/>
  <c r="L180" i="3"/>
  <c r="K180" i="3"/>
  <c r="J180" i="3"/>
  <c r="I180" i="3"/>
  <c r="H180" i="3"/>
  <c r="G180" i="3"/>
  <c r="M176" i="3"/>
  <c r="L176" i="3"/>
  <c r="K176" i="3"/>
  <c r="J176" i="3"/>
  <c r="I176" i="3"/>
  <c r="H176" i="3"/>
  <c r="G176" i="3"/>
  <c r="M172" i="3"/>
  <c r="L172" i="3"/>
  <c r="K172" i="3"/>
  <c r="J172" i="3"/>
  <c r="I172" i="3"/>
  <c r="H172" i="3"/>
  <c r="G172" i="3"/>
  <c r="M164" i="3"/>
  <c r="L164" i="3"/>
  <c r="K164" i="3"/>
  <c r="J164" i="3"/>
  <c r="I164" i="3"/>
  <c r="H164" i="3"/>
  <c r="G164" i="3"/>
  <c r="M75" i="3"/>
  <c r="M78" i="3" s="1"/>
  <c r="M79" i="3" s="1"/>
  <c r="L75" i="3"/>
  <c r="L78" i="3" s="1"/>
  <c r="L79" i="3" s="1"/>
  <c r="K75" i="3"/>
  <c r="K78" i="3" s="1"/>
  <c r="K79" i="3" s="1"/>
  <c r="J75" i="3"/>
  <c r="J78" i="3" s="1"/>
  <c r="J79" i="3" s="1"/>
  <c r="I75" i="3"/>
  <c r="I78" i="3" s="1"/>
  <c r="I79" i="3" s="1"/>
  <c r="H75" i="3"/>
  <c r="H78" i="3" s="1"/>
  <c r="H79" i="3" s="1"/>
  <c r="G75" i="3"/>
  <c r="F34" i="3"/>
  <c r="M30" i="3"/>
  <c r="L30" i="3"/>
  <c r="K30" i="3"/>
  <c r="J30" i="3"/>
  <c r="I30" i="3"/>
  <c r="H30" i="3"/>
  <c r="G30" i="3"/>
  <c r="M28" i="3"/>
  <c r="L28" i="3"/>
  <c r="K28" i="3"/>
  <c r="J28" i="3"/>
  <c r="I28" i="3"/>
  <c r="I10" i="56" s="1"/>
  <c r="H28" i="3"/>
  <c r="H10" i="56" s="1"/>
  <c r="G28" i="3"/>
  <c r="M27" i="3"/>
  <c r="M11" i="49" s="1"/>
  <c r="L27" i="3"/>
  <c r="L11" i="49" s="1"/>
  <c r="K27" i="3"/>
  <c r="J27" i="3"/>
  <c r="I27" i="3"/>
  <c r="H27" i="3"/>
  <c r="G27" i="3"/>
  <c r="M26" i="3"/>
  <c r="L26" i="3"/>
  <c r="K26" i="3"/>
  <c r="J26" i="3"/>
  <c r="I26" i="3"/>
  <c r="H26" i="3"/>
  <c r="G26" i="3"/>
  <c r="M25" i="3"/>
  <c r="M338" i="56" s="1"/>
  <c r="L25" i="3"/>
  <c r="L338" i="56" s="1"/>
  <c r="K25" i="3"/>
  <c r="K338" i="56" s="1"/>
  <c r="J25" i="3"/>
  <c r="J338" i="56" s="1"/>
  <c r="I25" i="3"/>
  <c r="I338" i="56" s="1"/>
  <c r="H25" i="3"/>
  <c r="H338" i="56" s="1"/>
  <c r="G25" i="3"/>
  <c r="G338" i="56" s="1"/>
  <c r="M22" i="3"/>
  <c r="L22" i="3"/>
  <c r="K22" i="3"/>
  <c r="J22" i="3"/>
  <c r="I22" i="3"/>
  <c r="H22" i="3"/>
  <c r="G22" i="3"/>
  <c r="M20" i="3"/>
  <c r="L20" i="3"/>
  <c r="K20" i="3"/>
  <c r="J20" i="3"/>
  <c r="I20" i="3"/>
  <c r="H20" i="3"/>
  <c r="G20" i="3"/>
  <c r="M12" i="3"/>
  <c r="L12" i="3"/>
  <c r="K12" i="3"/>
  <c r="J12" i="3"/>
  <c r="J11" i="57" s="1"/>
  <c r="I35" i="56"/>
  <c r="H35" i="56"/>
  <c r="DA137" i="30"/>
  <c r="CV137" i="30"/>
  <c r="CL137" i="30"/>
  <c r="CG137" i="30"/>
  <c r="CB137" i="30"/>
  <c r="BW137" i="30"/>
  <c r="BR137" i="30"/>
  <c r="BM137" i="30"/>
  <c r="AW137" i="30"/>
  <c r="AR137" i="30"/>
  <c r="AM137" i="30"/>
  <c r="AH137" i="30"/>
  <c r="AC137" i="30"/>
  <c r="X137" i="30"/>
  <c r="S137" i="30"/>
  <c r="N137" i="30"/>
  <c r="DA136" i="30"/>
  <c r="CV136" i="30"/>
  <c r="CL136" i="30"/>
  <c r="CG136" i="30"/>
  <c r="CB136" i="30"/>
  <c r="BW136" i="30"/>
  <c r="BR136" i="30"/>
  <c r="BM136" i="30"/>
  <c r="AW136" i="30"/>
  <c r="AR136" i="30"/>
  <c r="AM136" i="30"/>
  <c r="AH136" i="30"/>
  <c r="AC136" i="30"/>
  <c r="X136" i="30"/>
  <c r="S136" i="30"/>
  <c r="N136" i="30"/>
  <c r="DA132" i="30"/>
  <c r="CV132" i="30"/>
  <c r="CL132" i="30"/>
  <c r="CG132" i="30"/>
  <c r="CB132" i="30"/>
  <c r="BW132" i="30"/>
  <c r="BR132" i="30"/>
  <c r="BM132" i="30"/>
  <c r="AW132" i="30"/>
  <c r="AR132" i="30"/>
  <c r="AM132" i="30"/>
  <c r="AH132" i="30"/>
  <c r="AC132" i="30"/>
  <c r="X132" i="30"/>
  <c r="S132" i="30"/>
  <c r="N132" i="30"/>
  <c r="DA123" i="30"/>
  <c r="DA122" i="30" s="1"/>
  <c r="CV123" i="30"/>
  <c r="CV122" i="30" s="1"/>
  <c r="CL123" i="30"/>
  <c r="CL122" i="30" s="1"/>
  <c r="CG123" i="30"/>
  <c r="CG122" i="30" s="1"/>
  <c r="CB123" i="30"/>
  <c r="CB122" i="30" s="1"/>
  <c r="BW123" i="30"/>
  <c r="BW122" i="30" s="1"/>
  <c r="BR123" i="30"/>
  <c r="BR122" i="30" s="1"/>
  <c r="BM123" i="30"/>
  <c r="BM122" i="30" s="1"/>
  <c r="AW123" i="30"/>
  <c r="AW122" i="30" s="1"/>
  <c r="AR123" i="30"/>
  <c r="AR122" i="30" s="1"/>
  <c r="AM123" i="30"/>
  <c r="AM122" i="30" s="1"/>
  <c r="AH123" i="30"/>
  <c r="AH122" i="30" s="1"/>
  <c r="AC123" i="30"/>
  <c r="AC122" i="30" s="1"/>
  <c r="X123" i="30"/>
  <c r="X122" i="30" s="1"/>
  <c r="S123" i="30"/>
  <c r="S122" i="30" s="1"/>
  <c r="N123" i="30"/>
  <c r="N122" i="30" s="1"/>
  <c r="DA119" i="30"/>
  <c r="CV119" i="30"/>
  <c r="CL119" i="30"/>
  <c r="CG119" i="30"/>
  <c r="CB119" i="30"/>
  <c r="BW119" i="30"/>
  <c r="BR119" i="30"/>
  <c r="BM119" i="30"/>
  <c r="AW119" i="30"/>
  <c r="AR119" i="30"/>
  <c r="AM119" i="30"/>
  <c r="AH119" i="30"/>
  <c r="AC119" i="30"/>
  <c r="X119" i="30"/>
  <c r="S119" i="30"/>
  <c r="N119" i="30"/>
  <c r="DA110" i="30"/>
  <c r="DA109" i="30" s="1"/>
  <c r="CV110" i="30"/>
  <c r="CV109" i="30" s="1"/>
  <c r="CL110" i="30"/>
  <c r="CL109" i="30" s="1"/>
  <c r="CG110" i="30"/>
  <c r="CG109" i="30" s="1"/>
  <c r="CB110" i="30"/>
  <c r="CB109" i="30" s="1"/>
  <c r="BW110" i="30"/>
  <c r="BW109" i="30" s="1"/>
  <c r="BR110" i="30"/>
  <c r="BM110" i="30"/>
  <c r="AW110" i="30"/>
  <c r="AR110" i="30"/>
  <c r="AM110" i="30"/>
  <c r="AM109" i="30" s="1"/>
  <c r="AH110" i="30"/>
  <c r="AH109" i="30" s="1"/>
  <c r="AC110" i="30"/>
  <c r="AC109" i="30" s="1"/>
  <c r="X110" i="30"/>
  <c r="X109" i="30" s="1"/>
  <c r="S110" i="30"/>
  <c r="S109" i="30" s="1"/>
  <c r="N110" i="30"/>
  <c r="N109" i="30" s="1"/>
  <c r="BR109" i="30"/>
  <c r="BM109" i="30"/>
  <c r="AW109" i="30"/>
  <c r="AR109" i="30"/>
  <c r="C91" i="30"/>
  <c r="C74" i="30"/>
  <c r="CQ69" i="30"/>
  <c r="DA69" i="30"/>
  <c r="CV69" i="30"/>
  <c r="CL69" i="30"/>
  <c r="CG69" i="30"/>
  <c r="CB69" i="30"/>
  <c r="BW69" i="30"/>
  <c r="BR69" i="30"/>
  <c r="BM69" i="30"/>
  <c r="AW69" i="30"/>
  <c r="AR69" i="30"/>
  <c r="AM69" i="30"/>
  <c r="AH69" i="30"/>
  <c r="AC69" i="30"/>
  <c r="X69" i="30"/>
  <c r="S69" i="30"/>
  <c r="N69" i="30"/>
  <c r="CQ65" i="30"/>
  <c r="DA65" i="30"/>
  <c r="CV65" i="30"/>
  <c r="CL65" i="30"/>
  <c r="CG65" i="30"/>
  <c r="CB65" i="30"/>
  <c r="BW65" i="30"/>
  <c r="BR65" i="30"/>
  <c r="BM65" i="30"/>
  <c r="AW65" i="30"/>
  <c r="AR65" i="30"/>
  <c r="AM65" i="30"/>
  <c r="AH65" i="30"/>
  <c r="AC65" i="30"/>
  <c r="X65" i="30"/>
  <c r="S65" i="30"/>
  <c r="N65" i="30"/>
  <c r="CQ55" i="30"/>
  <c r="DA55" i="30"/>
  <c r="CV55" i="30"/>
  <c r="CL55" i="30"/>
  <c r="CG55" i="30"/>
  <c r="CB55" i="30"/>
  <c r="BW55" i="30"/>
  <c r="BR55" i="30"/>
  <c r="BM55" i="30"/>
  <c r="AW55" i="30"/>
  <c r="AR55" i="30"/>
  <c r="AM55" i="30"/>
  <c r="AH55" i="30"/>
  <c r="AC55" i="30"/>
  <c r="X55" i="30"/>
  <c r="S55" i="30"/>
  <c r="N55" i="30"/>
  <c r="C30" i="30"/>
  <c r="C28" i="30"/>
  <c r="D18" i="28"/>
  <c r="DA25" i="30"/>
  <c r="CV25" i="30"/>
  <c r="CL25" i="30"/>
  <c r="CG25" i="30"/>
  <c r="CB25" i="30"/>
  <c r="BW25" i="30"/>
  <c r="BR25" i="30"/>
  <c r="BM25" i="30"/>
  <c r="AW25" i="30"/>
  <c r="AR25" i="30"/>
  <c r="AM25" i="30"/>
  <c r="AH25" i="30"/>
  <c r="AC25" i="30"/>
  <c r="X25" i="30"/>
  <c r="S25" i="30"/>
  <c r="N25" i="30"/>
  <c r="C21" i="30"/>
  <c r="CQ7" i="30"/>
  <c r="P1" i="30" a="1"/>
  <c r="P1" i="30" s="1"/>
  <c r="BC35" i="53"/>
  <c r="BC15" i="53" s="1"/>
  <c r="BC13" i="53" s="1"/>
  <c r="AI35" i="53"/>
  <c r="AI15" i="53" s="1"/>
  <c r="AI13" i="53" s="1"/>
  <c r="AB55" i="53" s="1"/>
  <c r="AE55" i="53" s="1"/>
  <c r="Y35" i="53"/>
  <c r="Y15" i="53" s="1"/>
  <c r="Y13" i="53" s="1"/>
  <c r="R55" i="53" s="1"/>
  <c r="U55" i="53" s="1"/>
  <c r="BM15" i="53"/>
  <c r="BM13" i="53" s="1"/>
  <c r="BF15" i="53" s="1"/>
  <c r="BI15" i="53" s="1"/>
  <c r="AS15" i="53"/>
  <c r="AS13" i="53" s="1"/>
  <c r="R14" i="53"/>
  <c r="AB14" i="53" s="1"/>
  <c r="AL14" i="53" s="1"/>
  <c r="R13" i="53" a="1"/>
  <c r="R13" i="53" s="1"/>
  <c r="M116" i="14"/>
  <c r="M118" i="14" s="1"/>
  <c r="L116" i="14"/>
  <c r="L118" i="14" s="1"/>
  <c r="K116" i="14"/>
  <c r="K118" i="14" s="1"/>
  <c r="J116" i="14"/>
  <c r="J118" i="14" s="1"/>
  <c r="I116" i="14"/>
  <c r="I118" i="14" s="1"/>
  <c r="H116" i="14"/>
  <c r="H118" i="14" s="1"/>
  <c r="G116" i="14"/>
  <c r="G118" i="14" s="1"/>
  <c r="M106" i="14"/>
  <c r="L106" i="14"/>
  <c r="K106" i="14"/>
  <c r="J106" i="14"/>
  <c r="I106" i="14"/>
  <c r="H106" i="14"/>
  <c r="G106" i="14"/>
  <c r="M14" i="14"/>
  <c r="L14" i="14"/>
  <c r="K14" i="14"/>
  <c r="J14" i="14"/>
  <c r="I14" i="14"/>
  <c r="H14" i="14"/>
  <c r="G14" i="14"/>
  <c r="M10" i="14"/>
  <c r="L10" i="14"/>
  <c r="K10" i="14"/>
  <c r="J10" i="14"/>
  <c r="I10" i="14"/>
  <c r="H10" i="14"/>
  <c r="G10" i="14"/>
  <c r="M93" i="14"/>
  <c r="L93" i="14"/>
  <c r="K93" i="14"/>
  <c r="J93" i="14"/>
  <c r="I93" i="14"/>
  <c r="H93" i="14"/>
  <c r="G93" i="14"/>
  <c r="G28" i="14"/>
  <c r="G25" i="14"/>
  <c r="D9" i="50"/>
  <c r="E9" i="50" s="1"/>
  <c r="F9" i="50" s="1"/>
  <c r="J246" i="28"/>
  <c r="I246" i="28"/>
  <c r="H246" i="28"/>
  <c r="G246" i="28"/>
  <c r="F246" i="28"/>
  <c r="E246" i="28"/>
  <c r="D246" i="28"/>
  <c r="C246" i="28"/>
  <c r="A121" i="27" s="1"/>
  <c r="B121" i="27" s="1"/>
  <c r="J245" i="28"/>
  <c r="I245" i="28"/>
  <c r="H245" i="28"/>
  <c r="G245" i="28"/>
  <c r="F245" i="28"/>
  <c r="E245" i="28"/>
  <c r="D245" i="28"/>
  <c r="C245" i="28"/>
  <c r="A120" i="27" s="1"/>
  <c r="B120" i="27" s="1"/>
  <c r="J244" i="28"/>
  <c r="I244" i="28"/>
  <c r="H244" i="28"/>
  <c r="G244" i="28"/>
  <c r="F244" i="28"/>
  <c r="E244" i="28"/>
  <c r="D244" i="28"/>
  <c r="C244" i="28"/>
  <c r="A119" i="27" s="1"/>
  <c r="B119" i="27" s="1"/>
  <c r="J243" i="28"/>
  <c r="I243" i="28"/>
  <c r="H243" i="28"/>
  <c r="G243" i="28"/>
  <c r="F243" i="28"/>
  <c r="E243" i="28"/>
  <c r="D243" i="28"/>
  <c r="C243" i="28"/>
  <c r="A118" i="27" s="1"/>
  <c r="B118" i="27" s="1"/>
  <c r="J242" i="28"/>
  <c r="I242" i="28"/>
  <c r="H242" i="28"/>
  <c r="G242" i="28"/>
  <c r="F242" i="28"/>
  <c r="E242" i="28"/>
  <c r="D242" i="28"/>
  <c r="C242" i="28"/>
  <c r="A117" i="27" s="1"/>
  <c r="B117" i="27" s="1"/>
  <c r="J241" i="28"/>
  <c r="I241" i="28"/>
  <c r="H241" i="28"/>
  <c r="G241" i="28"/>
  <c r="F241" i="28"/>
  <c r="E241" i="28"/>
  <c r="D241" i="28"/>
  <c r="C241" i="28"/>
  <c r="A116" i="27" s="1"/>
  <c r="B116" i="27" s="1"/>
  <c r="J240" i="28"/>
  <c r="I240" i="28"/>
  <c r="H240" i="28"/>
  <c r="G240" i="28"/>
  <c r="F240" i="28"/>
  <c r="E240" i="28"/>
  <c r="D240" i="28"/>
  <c r="C240" i="28"/>
  <c r="A115" i="27" s="1"/>
  <c r="B115" i="27" s="1"/>
  <c r="J239" i="28"/>
  <c r="I239" i="28"/>
  <c r="H239" i="28"/>
  <c r="G239" i="28"/>
  <c r="F239" i="28"/>
  <c r="E239" i="28"/>
  <c r="D239" i="28"/>
  <c r="C239" i="28"/>
  <c r="A114" i="27" s="1"/>
  <c r="B114" i="27" s="1"/>
  <c r="J238" i="28"/>
  <c r="I238" i="28"/>
  <c r="H238" i="28"/>
  <c r="G238" i="28"/>
  <c r="F238" i="28"/>
  <c r="E238" i="28"/>
  <c r="D238" i="28"/>
  <c r="C238" i="28"/>
  <c r="J237" i="28"/>
  <c r="I237" i="28"/>
  <c r="H237" i="28"/>
  <c r="G237" i="28"/>
  <c r="F237" i="28"/>
  <c r="E237" i="28"/>
  <c r="D237" i="28"/>
  <c r="C237" i="28"/>
  <c r="J236" i="28"/>
  <c r="I236" i="28"/>
  <c r="H236" i="28"/>
  <c r="G236" i="28"/>
  <c r="F236" i="28"/>
  <c r="E236" i="28"/>
  <c r="D236" i="28"/>
  <c r="C236" i="28"/>
  <c r="C235" i="28"/>
  <c r="J234" i="28"/>
  <c r="I234" i="28"/>
  <c r="H234" i="28"/>
  <c r="G234" i="28"/>
  <c r="F234" i="28"/>
  <c r="E234" i="28"/>
  <c r="D234" i="28"/>
  <c r="C234" i="28"/>
  <c r="C233" i="28"/>
  <c r="C232" i="28"/>
  <c r="C231" i="28"/>
  <c r="C228" i="28"/>
  <c r="C226" i="28"/>
  <c r="C225" i="28"/>
  <c r="C221" i="28"/>
  <c r="C219" i="28"/>
  <c r="C218" i="28"/>
  <c r="C217" i="28"/>
  <c r="C216" i="28"/>
  <c r="C215" i="28"/>
  <c r="C214" i="28"/>
  <c r="C213" i="28"/>
  <c r="C212" i="28"/>
  <c r="C211" i="28"/>
  <c r="C210" i="28"/>
  <c r="C209" i="28"/>
  <c r="C208" i="28"/>
  <c r="C207" i="28"/>
  <c r="C206" i="28"/>
  <c r="C205" i="28"/>
  <c r="C204" i="28"/>
  <c r="C203" i="28"/>
  <c r="C202" i="28"/>
  <c r="A79" i="27" s="1"/>
  <c r="C201" i="28"/>
  <c r="J197" i="28"/>
  <c r="I197" i="28"/>
  <c r="H197" i="28"/>
  <c r="G197" i="28"/>
  <c r="F197" i="28"/>
  <c r="E197" i="28"/>
  <c r="D197" i="28"/>
  <c r="H154" i="28"/>
  <c r="F154" i="28"/>
  <c r="D154" i="28"/>
  <c r="H36" i="28"/>
  <c r="F34" i="28"/>
  <c r="D34" i="28"/>
  <c r="AA199" i="4" a="1"/>
  <c r="AA200" i="4" a="1"/>
  <c r="B69" i="25" l="1"/>
  <c r="B66" i="25"/>
  <c r="B65" i="25"/>
  <c r="AV55" i="53"/>
  <c r="AY55" i="53" s="1"/>
  <c r="AV75" i="53"/>
  <c r="AY75" i="53" s="1"/>
  <c r="A78" i="27"/>
  <c r="B78" i="27" s="1"/>
  <c r="B6" i="27"/>
  <c r="C6" i="27" s="1"/>
  <c r="B2" i="59"/>
  <c r="G191" i="3"/>
  <c r="H75" i="55"/>
  <c r="J75" i="55"/>
  <c r="I75" i="55"/>
  <c r="L75" i="55"/>
  <c r="K75" i="55"/>
  <c r="M75" i="55"/>
  <c r="H86" i="55"/>
  <c r="K86" i="55"/>
  <c r="L86" i="55"/>
  <c r="I86" i="55"/>
  <c r="J86" i="55"/>
  <c r="M86" i="55"/>
  <c r="G10" i="56"/>
  <c r="G207" i="3"/>
  <c r="R68" i="27" a="1"/>
  <c r="R68" i="27" s="1"/>
  <c r="R70" i="27" s="1"/>
  <c r="L10" i="56"/>
  <c r="M10" i="56"/>
  <c r="K10" i="56"/>
  <c r="J10" i="56"/>
  <c r="N155" i="56"/>
  <c r="N173" i="56"/>
  <c r="AH141" i="30"/>
  <c r="CG141" i="30"/>
  <c r="S142" i="30"/>
  <c r="L346" i="56"/>
  <c r="K346" i="56"/>
  <c r="I346" i="56"/>
  <c r="J346" i="56"/>
  <c r="L182" i="57"/>
  <c r="K182" i="57"/>
  <c r="J182" i="57"/>
  <c r="G182" i="57"/>
  <c r="M182" i="57"/>
  <c r="I182" i="57"/>
  <c r="H182" i="57"/>
  <c r="G86" i="55"/>
  <c r="M183" i="57"/>
  <c r="J183" i="57"/>
  <c r="G183" i="57"/>
  <c r="L183" i="57"/>
  <c r="I183" i="57"/>
  <c r="K183" i="57"/>
  <c r="H183" i="57"/>
  <c r="G516" i="3"/>
  <c r="H516" i="3"/>
  <c r="I516" i="3"/>
  <c r="J516" i="3"/>
  <c r="K516" i="3"/>
  <c r="L516" i="3"/>
  <c r="M516" i="3"/>
  <c r="J14" i="49"/>
  <c r="J517" i="3"/>
  <c r="K14" i="49"/>
  <c r="K517" i="3"/>
  <c r="L14" i="49"/>
  <c r="L517" i="3"/>
  <c r="M14" i="49"/>
  <c r="M517" i="3"/>
  <c r="G14" i="49"/>
  <c r="G517" i="3"/>
  <c r="I14" i="49"/>
  <c r="I517" i="3"/>
  <c r="H14" i="49"/>
  <c r="H517" i="3"/>
  <c r="M35" i="56"/>
  <c r="M11" i="57"/>
  <c r="H421" i="3"/>
  <c r="H66" i="14"/>
  <c r="J421" i="3"/>
  <c r="J66" i="14"/>
  <c r="K421" i="3"/>
  <c r="K66" i="14"/>
  <c r="L421" i="3"/>
  <c r="L66" i="14"/>
  <c r="M421" i="3"/>
  <c r="M66" i="14"/>
  <c r="K10" i="55"/>
  <c r="K11" i="57"/>
  <c r="L35" i="56"/>
  <c r="L11" i="57"/>
  <c r="G421" i="3"/>
  <c r="G66" i="14"/>
  <c r="M508" i="3"/>
  <c r="K508" i="3"/>
  <c r="J508" i="3"/>
  <c r="I508" i="3"/>
  <c r="H508" i="3"/>
  <c r="L508" i="3"/>
  <c r="G71" i="4"/>
  <c r="G508" i="3"/>
  <c r="K509" i="3"/>
  <c r="L509" i="3"/>
  <c r="M509" i="3"/>
  <c r="H509" i="3"/>
  <c r="I509" i="3"/>
  <c r="J509" i="3"/>
  <c r="B9" i="50"/>
  <c r="B14" i="50" s="1" a="1"/>
  <c r="B14" i="50" s="1"/>
  <c r="H350" i="56" a="1"/>
  <c r="H350" i="56" s="1"/>
  <c r="N285" i="56"/>
  <c r="AV14" i="53"/>
  <c r="AL13" i="53" a="1"/>
  <c r="AL13" i="53" s="1"/>
  <c r="AB13" i="53" a="1"/>
  <c r="AB13" i="53" s="1"/>
  <c r="AW141" i="30"/>
  <c r="DA141" i="30"/>
  <c r="N141" i="30"/>
  <c r="BM141" i="30"/>
  <c r="S141" i="30"/>
  <c r="BR141" i="30"/>
  <c r="X141" i="30"/>
  <c r="BW141" i="30"/>
  <c r="AC141" i="30"/>
  <c r="CB141" i="30"/>
  <c r="AM141" i="30"/>
  <c r="CL141" i="30"/>
  <c r="AR141" i="30"/>
  <c r="CV141" i="30"/>
  <c r="G78" i="3"/>
  <c r="G79" i="3" s="1"/>
  <c r="AL15" i="53"/>
  <c r="AO15" i="53" s="1"/>
  <c r="AL35" i="53"/>
  <c r="AO35" i="53" s="1"/>
  <c r="H14" i="3"/>
  <c r="H16" i="14" s="1"/>
  <c r="AT105" i="27"/>
  <c r="BR142" i="30"/>
  <c r="AW142" i="30"/>
  <c r="DA142" i="30"/>
  <c r="N142" i="30"/>
  <c r="BM142" i="30"/>
  <c r="AM142" i="30"/>
  <c r="CL142" i="30"/>
  <c r="AR142" i="30"/>
  <c r="CV142" i="30"/>
  <c r="X142" i="30"/>
  <c r="BW142" i="30"/>
  <c r="AC142" i="30"/>
  <c r="CB142" i="30"/>
  <c r="AH142" i="30"/>
  <c r="CG142" i="30"/>
  <c r="J71" i="4"/>
  <c r="K71" i="4"/>
  <c r="L71" i="4"/>
  <c r="G509" i="3"/>
  <c r="I71" i="4"/>
  <c r="M71" i="4"/>
  <c r="H71" i="4"/>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87" i="27"/>
  <c r="B87" i="27" s="1"/>
  <c r="A95"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13" i="27"/>
  <c r="B113" i="27" s="1"/>
  <c r="B2" i="52"/>
  <c r="O68" i="27" a="1"/>
  <c r="O68" i="27" s="1"/>
  <c r="O70" i="27" s="1"/>
  <c r="F57" i="2"/>
  <c r="G136" i="4"/>
  <c r="G137" i="4"/>
  <c r="H136" i="4"/>
  <c r="H137" i="4"/>
  <c r="I136" i="4"/>
  <c r="I137" i="4"/>
  <c r="J136" i="4"/>
  <c r="J137" i="4"/>
  <c r="K136" i="4"/>
  <c r="K137" i="4"/>
  <c r="L136" i="4"/>
  <c r="L137" i="4"/>
  <c r="M136" i="4"/>
  <c r="M137" i="4"/>
  <c r="F66" i="56"/>
  <c r="F67" i="56"/>
  <c r="F519" i="3"/>
  <c r="A145" i="27" s="1"/>
  <c r="C2" i="30"/>
  <c r="M14" i="3"/>
  <c r="M16" i="14" s="1"/>
  <c r="H207" i="3"/>
  <c r="M12" i="49"/>
  <c r="H29" i="3"/>
  <c r="H199" i="3"/>
  <c r="M29" i="3"/>
  <c r="G18" i="4"/>
  <c r="AT96" i="27"/>
  <c r="F59" i="2"/>
  <c r="AT108" i="27"/>
  <c r="F73" i="2" s="1"/>
  <c r="M10" i="49"/>
  <c r="I29" i="3"/>
  <c r="M199" i="3"/>
  <c r="G12" i="49"/>
  <c r="L29" i="3"/>
  <c r="L168" i="3"/>
  <c r="L321" i="3" s="1"/>
  <c r="G29" i="3"/>
  <c r="M191" i="3"/>
  <c r="G199" i="3"/>
  <c r="L9" i="49"/>
  <c r="B47" i="25"/>
  <c r="B64" i="25"/>
  <c r="B43" i="25"/>
  <c r="B46" i="25"/>
  <c r="B54" i="25"/>
  <c r="B62" i="25"/>
  <c r="B55" i="25"/>
  <c r="B48" i="25"/>
  <c r="B57" i="25"/>
  <c r="B50" i="25"/>
  <c r="B51" i="25"/>
  <c r="B67" i="25"/>
  <c r="B52" i="25"/>
  <c r="B60" i="25"/>
  <c r="B68" i="25"/>
  <c r="G14" i="3"/>
  <c r="G16" i="14" s="1"/>
  <c r="H9" i="49"/>
  <c r="H168" i="3"/>
  <c r="H321" i="3" s="1"/>
  <c r="I10" i="49"/>
  <c r="J29" i="3"/>
  <c r="J191" i="3"/>
  <c r="J11" i="49"/>
  <c r="K12" i="49"/>
  <c r="K199" i="3"/>
  <c r="K207" i="3"/>
  <c r="K191" i="3"/>
  <c r="K14" i="3"/>
  <c r="K16" i="14" s="1"/>
  <c r="K472" i="3"/>
  <c r="K183" i="56"/>
  <c r="K12" i="22"/>
  <c r="K35" i="56"/>
  <c r="K17" i="4"/>
  <c r="K18" i="4" s="1"/>
  <c r="I421" i="3"/>
  <c r="J12" i="22"/>
  <c r="J183" i="56"/>
  <c r="J14" i="3"/>
  <c r="J16" i="14" s="1"/>
  <c r="K29" i="3"/>
  <c r="M168" i="3"/>
  <c r="M321" i="3" s="1"/>
  <c r="L191" i="3"/>
  <c r="M472" i="3"/>
  <c r="J17" i="4"/>
  <c r="J18" i="4" s="1"/>
  <c r="J10" i="55"/>
  <c r="K9" i="49"/>
  <c r="L10" i="49"/>
  <c r="L183" i="56"/>
  <c r="L12" i="22"/>
  <c r="L14" i="3"/>
  <c r="L16" i="14" s="1"/>
  <c r="G168" i="3"/>
  <c r="G321" i="3" s="1"/>
  <c r="I207" i="3"/>
  <c r="L17" i="4"/>
  <c r="L10" i="55"/>
  <c r="M9" i="49"/>
  <c r="G11" i="49"/>
  <c r="H12" i="49"/>
  <c r="M183" i="56"/>
  <c r="M12" i="22"/>
  <c r="I199" i="3"/>
  <c r="J207" i="3"/>
  <c r="H472" i="3"/>
  <c r="M17" i="4"/>
  <c r="M10" i="55"/>
  <c r="G10" i="49"/>
  <c r="H11" i="49"/>
  <c r="I12" i="49"/>
  <c r="F13" i="3"/>
  <c r="I168" i="3"/>
  <c r="I321" i="3" s="1"/>
  <c r="H191" i="3"/>
  <c r="J199" i="3"/>
  <c r="I472" i="3"/>
  <c r="G9" i="49"/>
  <c r="H10" i="49"/>
  <c r="I11" i="49"/>
  <c r="J12" i="49"/>
  <c r="J168" i="3"/>
  <c r="J321" i="3" s="1"/>
  <c r="I191" i="3"/>
  <c r="L207" i="3"/>
  <c r="J472" i="3"/>
  <c r="H12" i="22"/>
  <c r="K168" i="3"/>
  <c r="K321" i="3" s="1"/>
  <c r="L199" i="3"/>
  <c r="M207" i="3"/>
  <c r="H17" i="4"/>
  <c r="H18" i="4" s="1"/>
  <c r="H10" i="55"/>
  <c r="I9" i="49"/>
  <c r="J10" i="49"/>
  <c r="K11" i="49"/>
  <c r="L12" i="49"/>
  <c r="I12" i="22"/>
  <c r="I14" i="3"/>
  <c r="I16" i="14" s="1"/>
  <c r="L472" i="3"/>
  <c r="J35" i="56"/>
  <c r="I17" i="4"/>
  <c r="I18" i="4" s="1"/>
  <c r="I10" i="55"/>
  <c r="J9" i="49"/>
  <c r="K10" i="49"/>
  <c r="K166" i="56"/>
  <c r="K63" i="57" s="1"/>
  <c r="K221" i="57" s="1"/>
  <c r="F123" i="56"/>
  <c r="F122" i="56"/>
  <c r="F52" i="56"/>
  <c r="F61" i="56" s="1"/>
  <c r="F45" i="56"/>
  <c r="G75" i="55"/>
  <c r="G64" i="55"/>
  <c r="L166" i="56"/>
  <c r="L63" i="57" s="1"/>
  <c r="L221" i="57" s="1"/>
  <c r="M166" i="56"/>
  <c r="M63" i="57" s="1"/>
  <c r="M221" i="57" s="1"/>
  <c r="G166" i="56"/>
  <c r="G63" i="57" s="1"/>
  <c r="G221" i="57" s="1"/>
  <c r="H166" i="56"/>
  <c r="H63" i="57" s="1"/>
  <c r="H221" i="57" s="1"/>
  <c r="F121" i="56"/>
  <c r="I166" i="56"/>
  <c r="I63" i="57" s="1"/>
  <c r="I221" i="57" s="1"/>
  <c r="J166" i="56"/>
  <c r="J63" i="57" s="1"/>
  <c r="J221" i="57" s="1"/>
  <c r="K476" i="56"/>
  <c r="U1" i="30" a="1"/>
  <c r="U1" i="30"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9" i="3"/>
  <c r="K279" i="3"/>
  <c r="J279" i="3"/>
  <c r="I279" i="3"/>
  <c r="H279" i="3"/>
  <c r="G279" i="3"/>
  <c r="M279"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476" i="56"/>
  <c r="J476" i="56"/>
  <c r="L476" i="56"/>
  <c r="M476" i="56"/>
  <c r="G350" i="56" a="1"/>
  <c r="G350" i="56" s="1"/>
  <c r="AA200" i="4"/>
  <c r="AA199" i="4"/>
  <c r="AA196" i="4" a="1"/>
  <c r="G6" i="27" a="1"/>
  <c r="E6" i="27" a="1"/>
  <c r="H6" i="27" a="1"/>
  <c r="F6" i="27" a="1"/>
  <c r="G6" i="27" l="1"/>
  <c r="H6" i="27"/>
  <c r="E6" i="27"/>
  <c r="F6" i="27"/>
  <c r="B31" i="50" a="1"/>
  <c r="B31" i="50" s="1"/>
  <c r="B13" i="50" a="1"/>
  <c r="B13" i="50" s="1"/>
  <c r="H438" i="57"/>
  <c r="G12" i="56"/>
  <c r="K350" i="56" a="1"/>
  <c r="K350" i="56" s="1"/>
  <c r="K438" i="57" s="1"/>
  <c r="L10" i="57"/>
  <c r="L12" i="56"/>
  <c r="K10" i="57"/>
  <c r="K12" i="56"/>
  <c r="J10" i="57"/>
  <c r="J12" i="56"/>
  <c r="M10" i="57"/>
  <c r="M12" i="56"/>
  <c r="I10" i="57"/>
  <c r="I12" i="56"/>
  <c r="H10" i="57"/>
  <c r="H12" i="56"/>
  <c r="M350" i="56" a="1"/>
  <c r="M350" i="56" s="1"/>
  <c r="M438" i="57" s="1"/>
  <c r="L350" i="56" a="1"/>
  <c r="L350" i="56" s="1"/>
  <c r="L438" i="57" s="1"/>
  <c r="J350" i="56" a="1"/>
  <c r="J350" i="56" s="1"/>
  <c r="J438" i="57" s="1"/>
  <c r="I350" i="56" a="1"/>
  <c r="I350" i="56" s="1"/>
  <c r="I438" i="57" s="1"/>
  <c r="G438" i="57"/>
  <c r="G10" i="57"/>
  <c r="I419" i="3"/>
  <c r="J419" i="3"/>
  <c r="L419" i="3"/>
  <c r="G419" i="3"/>
  <c r="M419" i="3"/>
  <c r="K419" i="3"/>
  <c r="H419" i="3"/>
  <c r="B21" i="50" a="1"/>
  <c r="B21" i="50" s="1"/>
  <c r="D36" i="28" s="1"/>
  <c r="C58" i="28" s="1"/>
  <c r="B18" i="50" a="1"/>
  <c r="B18" i="50" s="1"/>
  <c r="I34" i="28" s="1"/>
  <c r="J121" i="3" s="1"/>
  <c r="B23" i="50" a="1"/>
  <c r="B23" i="50" s="1"/>
  <c r="H183" i="56" s="1"/>
  <c r="B19" i="50" a="1"/>
  <c r="B19" i="50" s="1"/>
  <c r="I35" i="28" s="1"/>
  <c r="H128" i="3" s="1"/>
  <c r="B20" i="50" a="1"/>
  <c r="B20" i="50" s="1"/>
  <c r="B35" i="50" a="1"/>
  <c r="B35" i="50" s="1"/>
  <c r="G18" i="14" s="1"/>
  <c r="B8" i="50" a="1"/>
  <c r="B8" i="50" s="1"/>
  <c r="E15" i="53" s="1"/>
  <c r="B17" i="50" a="1"/>
  <c r="B17" i="50" s="1"/>
  <c r="L154" i="3" s="1"/>
  <c r="B33" i="50" a="1"/>
  <c r="B33" i="50" s="1"/>
  <c r="H177" i="56" s="1"/>
  <c r="H73" i="57" s="1"/>
  <c r="H231" i="57" s="1"/>
  <c r="B34" i="50" a="1"/>
  <c r="B34" i="50" s="1"/>
  <c r="M29" i="14" s="1"/>
  <c r="B12" i="50" a="1"/>
  <c r="B12" i="50" s="1"/>
  <c r="E64" i="28" s="1"/>
  <c r="B32" i="50" a="1"/>
  <c r="B32" i="50" s="1"/>
  <c r="B16" i="50" a="1"/>
  <c r="B16" i="50" s="1"/>
  <c r="G46" i="28" s="1"/>
  <c r="J139" i="3" s="1"/>
  <c r="B27" i="50" a="1"/>
  <c r="B27" i="50" s="1"/>
  <c r="I193" i="49" s="1"/>
  <c r="B15" i="50" a="1"/>
  <c r="B15" i="50" s="1"/>
  <c r="D44" i="28" s="1"/>
  <c r="G27" i="4" s="1"/>
  <c r="B30" i="50" a="1"/>
  <c r="B30" i="50" s="1"/>
  <c r="B22" i="50" a="1"/>
  <c r="B22" i="50" s="1"/>
  <c r="G519" i="3" s="1"/>
  <c r="B36" i="50" a="1"/>
  <c r="B36" i="50" s="1"/>
  <c r="M341" i="3" s="1"/>
  <c r="M103" i="14" s="1"/>
  <c r="E16" i="53"/>
  <c r="F19" i="53" s="1"/>
  <c r="B26" i="50" a="1"/>
  <c r="B26" i="50" s="1"/>
  <c r="I198" i="49" s="1"/>
  <c r="I9" i="55"/>
  <c r="I347" i="56"/>
  <c r="I351" i="56" s="1" a="1"/>
  <c r="I351" i="56" s="1"/>
  <c r="L44" i="4"/>
  <c r="I208" i="28" s="1"/>
  <c r="L347" i="56"/>
  <c r="L351" i="56" s="1" a="1"/>
  <c r="L351" i="56" s="1"/>
  <c r="M78" i="4"/>
  <c r="M104" i="4" s="1"/>
  <c r="M347" i="56"/>
  <c r="M351" i="56" s="1" a="1"/>
  <c r="M351" i="56" s="1"/>
  <c r="K78" i="4"/>
  <c r="K104" i="4" s="1"/>
  <c r="K347" i="56"/>
  <c r="K351" i="56" s="1" a="1"/>
  <c r="K351" i="56" s="1"/>
  <c r="H347" i="56"/>
  <c r="H351" i="56" s="1" a="1"/>
  <c r="H351" i="56" s="1"/>
  <c r="G347" i="56"/>
  <c r="G351" i="56" s="1" a="1"/>
  <c r="G351" i="56" s="1"/>
  <c r="J44" i="4"/>
  <c r="G208" i="28" s="1"/>
  <c r="J347" i="56"/>
  <c r="J351" i="56" s="1" a="1"/>
  <c r="J351" i="56" s="1"/>
  <c r="F60" i="56"/>
  <c r="BF14" i="53"/>
  <c r="BF13" i="53" s="1" a="1"/>
  <c r="BF13" i="53" s="1"/>
  <c r="AV13" i="53" a="1"/>
  <c r="AV13" i="53" s="1"/>
  <c r="G78" i="4"/>
  <c r="G104" i="4" s="1"/>
  <c r="J78" i="4"/>
  <c r="J104" i="4" s="1"/>
  <c r="I78" i="4"/>
  <c r="I104" i="4" s="1"/>
  <c r="L78" i="4"/>
  <c r="L104" i="4" s="1"/>
  <c r="H78" i="4"/>
  <c r="H104" i="4" s="1"/>
  <c r="N286" i="56" a="1"/>
  <c r="N286" i="56" s="1"/>
  <c r="N419" i="56" s="1"/>
  <c r="N449" i="56" s="1"/>
  <c r="I183" i="56"/>
  <c r="AA196" i="4"/>
  <c r="F112" i="27"/>
  <c r="G112" i="27"/>
  <c r="E112" i="27"/>
  <c r="H112" i="27"/>
  <c r="I112" i="27"/>
  <c r="C112" i="27"/>
  <c r="D111" i="27"/>
  <c r="E111" i="27"/>
  <c r="F111" i="27"/>
  <c r="H111" i="27"/>
  <c r="G111" i="27"/>
  <c r="I111" i="27"/>
  <c r="D109" i="27"/>
  <c r="C109" i="27"/>
  <c r="I109" i="27"/>
  <c r="H109" i="27"/>
  <c r="G109" i="27"/>
  <c r="E109" i="27"/>
  <c r="F109" i="27"/>
  <c r="I113" i="27"/>
  <c r="H113" i="27"/>
  <c r="G113" i="27"/>
  <c r="F113" i="27"/>
  <c r="E113" i="27"/>
  <c r="D113" i="27"/>
  <c r="C113" i="27"/>
  <c r="L11" i="22"/>
  <c r="I11" i="22"/>
  <c r="G11" i="22"/>
  <c r="G44" i="4"/>
  <c r="D208" i="28" s="1"/>
  <c r="M31" i="3"/>
  <c r="M44" i="4"/>
  <c r="J208" i="28" s="1"/>
  <c r="K44" i="4"/>
  <c r="H208" i="28" s="1"/>
  <c r="H9" i="55"/>
  <c r="H44" i="4"/>
  <c r="E208" i="28" s="1"/>
  <c r="I13" i="49"/>
  <c r="I75" i="49" s="1"/>
  <c r="I125" i="49" s="1"/>
  <c r="I44" i="4"/>
  <c r="F208" i="28" s="1"/>
  <c r="H13" i="49"/>
  <c r="H21" i="49" s="1"/>
  <c r="H23" i="49" s="1"/>
  <c r="H11" i="25"/>
  <c r="M34" i="56"/>
  <c r="M11" i="22"/>
  <c r="I31" i="3"/>
  <c r="M13" i="49"/>
  <c r="M21" i="49" s="1"/>
  <c r="M23" i="49" s="1"/>
  <c r="M11" i="25"/>
  <c r="I34" i="56"/>
  <c r="M9" i="55"/>
  <c r="H31" i="3"/>
  <c r="H34" i="56"/>
  <c r="H11" i="22"/>
  <c r="G13" i="49"/>
  <c r="G31" i="3"/>
  <c r="G9" i="55"/>
  <c r="I11" i="25"/>
  <c r="F520" i="3"/>
  <c r="G34" i="56"/>
  <c r="G11" i="56" s="1"/>
  <c r="G11" i="25"/>
  <c r="L18" i="4"/>
  <c r="M18" i="4"/>
  <c r="L31" i="3"/>
  <c r="L34" i="56"/>
  <c r="L11" i="25"/>
  <c r="L9" i="55"/>
  <c r="L13" i="49"/>
  <c r="L21" i="49" s="1"/>
  <c r="L23" i="49" s="1"/>
  <c r="J11" i="25"/>
  <c r="J31" i="3"/>
  <c r="J13" i="49"/>
  <c r="J74" i="49" s="1"/>
  <c r="J124" i="49" s="1"/>
  <c r="J11" i="22"/>
  <c r="J34" i="56"/>
  <c r="J9" i="55"/>
  <c r="K11" i="25"/>
  <c r="K11" i="22"/>
  <c r="K31" i="3"/>
  <c r="K13" i="49"/>
  <c r="K21" i="49" s="1"/>
  <c r="K23" i="49" s="1"/>
  <c r="K9" i="55"/>
  <c r="K34" i="56"/>
  <c r="Z1" i="30" a="1"/>
  <c r="Z1" i="30" s="1"/>
  <c r="AA198" i="4" a="1"/>
  <c r="AA195" i="4" a="1"/>
  <c r="D6" i="27" a="1"/>
  <c r="AA197" i="4" a="1"/>
  <c r="AA194" i="4" a="1"/>
  <c r="H83" i="3" l="1"/>
  <c r="J64" i="28"/>
  <c r="M84" i="3" s="1"/>
  <c r="I64" i="28"/>
  <c r="L84" i="3" s="1"/>
  <c r="L83" i="3"/>
  <c r="H64" i="28"/>
  <c r="K84" i="3" s="1"/>
  <c r="J83" i="3"/>
  <c r="G64" i="28"/>
  <c r="J84" i="3" s="1"/>
  <c r="I83" i="3"/>
  <c r="D64" i="28"/>
  <c r="G84" i="3" s="1"/>
  <c r="M83" i="3"/>
  <c r="F64" i="28"/>
  <c r="I84" i="3" s="1"/>
  <c r="G83" i="3"/>
  <c r="K83" i="3"/>
  <c r="D6" i="27"/>
  <c r="H84" i="3"/>
  <c r="N461" i="56"/>
  <c r="N587" i="56" s="1"/>
  <c r="M442" i="56"/>
  <c r="M102" i="55" s="1"/>
  <c r="M439" i="57"/>
  <c r="J442" i="56"/>
  <c r="J102" i="55" s="1"/>
  <c r="J439" i="57"/>
  <c r="L442" i="56"/>
  <c r="L102" i="55" s="1"/>
  <c r="L439" i="57"/>
  <c r="G442" i="56"/>
  <c r="G102" i="55" s="1"/>
  <c r="G439" i="57"/>
  <c r="H442" i="56"/>
  <c r="H102" i="55" s="1"/>
  <c r="H439" i="57"/>
  <c r="I442" i="56"/>
  <c r="I102" i="55" s="1"/>
  <c r="I439" i="57"/>
  <c r="K442" i="56"/>
  <c r="K102" i="55" s="1"/>
  <c r="K439" i="57"/>
  <c r="K11" i="56"/>
  <c r="K337" i="56" s="1"/>
  <c r="J11" i="56"/>
  <c r="J138" i="4" s="1"/>
  <c r="L11" i="56"/>
  <c r="L337" i="56" s="1"/>
  <c r="H11" i="56"/>
  <c r="H337" i="56" s="1"/>
  <c r="H342" i="56" s="1" a="1"/>
  <c r="H342" i="56" s="1"/>
  <c r="I11" i="56"/>
  <c r="I337" i="56" s="1"/>
  <c r="M11" i="56"/>
  <c r="M337" i="56" s="1"/>
  <c r="M339" i="56" s="1"/>
  <c r="M428" i="57" s="1"/>
  <c r="G337" i="56"/>
  <c r="K9" i="57"/>
  <c r="J9" i="57"/>
  <c r="G154" i="3"/>
  <c r="H520" i="3"/>
  <c r="I520" i="3"/>
  <c r="J520" i="3"/>
  <c r="K520" i="3"/>
  <c r="L520" i="3"/>
  <c r="M520" i="3"/>
  <c r="G520" i="3"/>
  <c r="L519" i="3"/>
  <c r="I519" i="3"/>
  <c r="J519" i="3"/>
  <c r="M519" i="3"/>
  <c r="K519" i="3"/>
  <c r="H519" i="3"/>
  <c r="G21" i="53"/>
  <c r="L25" i="53"/>
  <c r="G27" i="14"/>
  <c r="G26" i="14"/>
  <c r="J154" i="3"/>
  <c r="I154" i="3"/>
  <c r="M154" i="3"/>
  <c r="K154" i="3"/>
  <c r="H154" i="3"/>
  <c r="G21" i="49"/>
  <c r="G75" i="49"/>
  <c r="G125" i="49" s="1"/>
  <c r="G76" i="49"/>
  <c r="G126" i="49" s="1"/>
  <c r="M128" i="3"/>
  <c r="L128" i="3"/>
  <c r="G128" i="3"/>
  <c r="G254" i="3"/>
  <c r="J254" i="3"/>
  <c r="I128" i="3"/>
  <c r="I21" i="53"/>
  <c r="L254" i="3"/>
  <c r="G29" i="53"/>
  <c r="J128" i="3"/>
  <c r="K128" i="3"/>
  <c r="I25" i="53"/>
  <c r="J29" i="53"/>
  <c r="I29" i="53"/>
  <c r="G20" i="53"/>
  <c r="J22" i="53"/>
  <c r="K26" i="53"/>
  <c r="F27" i="53"/>
  <c r="F22" i="53"/>
  <c r="A146" i="27"/>
  <c r="F521" i="3"/>
  <c r="L58" i="49"/>
  <c r="K58" i="49"/>
  <c r="K341" i="3"/>
  <c r="K103" i="14" s="1"/>
  <c r="H341" i="3"/>
  <c r="H103" i="14" s="1"/>
  <c r="K18" i="14"/>
  <c r="K20" i="53"/>
  <c r="I27" i="53"/>
  <c r="J23" i="53"/>
  <c r="J25" i="53"/>
  <c r="K19" i="53"/>
  <c r="F26" i="53"/>
  <c r="I23" i="53"/>
  <c r="J26" i="53"/>
  <c r="L22" i="53"/>
  <c r="L27" i="53"/>
  <c r="H26" i="53"/>
  <c r="H44" i="28"/>
  <c r="K27" i="4" s="1"/>
  <c r="I44" i="28"/>
  <c r="L27" i="4" s="1"/>
  <c r="F25" i="53"/>
  <c r="J20" i="53"/>
  <c r="G22" i="53"/>
  <c r="H21" i="53"/>
  <c r="F20" i="53"/>
  <c r="I26" i="53"/>
  <c r="K23" i="53"/>
  <c r="J27" i="53"/>
  <c r="E46" i="28"/>
  <c r="H139" i="3" s="1"/>
  <c r="H26" i="4" s="1"/>
  <c r="K254" i="3"/>
  <c r="H254" i="3"/>
  <c r="I254" i="3"/>
  <c r="M254" i="3"/>
  <c r="H22" i="53"/>
  <c r="D46" i="28"/>
  <c r="G139" i="3" s="1"/>
  <c r="G26" i="4" s="1"/>
  <c r="I341" i="3"/>
  <c r="I103" i="14" s="1"/>
  <c r="G341" i="3"/>
  <c r="G103" i="14" s="1"/>
  <c r="J341" i="3"/>
  <c r="J103" i="14" s="1"/>
  <c r="L29" i="53"/>
  <c r="I46" i="28"/>
  <c r="L139" i="3" s="1"/>
  <c r="L26" i="4" s="1"/>
  <c r="L29" i="14"/>
  <c r="L341" i="3"/>
  <c r="L103" i="14" s="1"/>
  <c r="I22" i="53"/>
  <c r="H27" i="53"/>
  <c r="I177" i="56"/>
  <c r="I73" i="57" s="1"/>
  <c r="I231" i="57" s="1"/>
  <c r="J29" i="14"/>
  <c r="H29" i="14"/>
  <c r="J44" i="28"/>
  <c r="M27" i="4" s="1"/>
  <c r="L21" i="53"/>
  <c r="G27" i="53"/>
  <c r="K25" i="53"/>
  <c r="F21" i="53"/>
  <c r="J21" i="53"/>
  <c r="I18" i="14"/>
  <c r="H18" i="14"/>
  <c r="K27" i="53"/>
  <c r="M18" i="14"/>
  <c r="G23" i="53"/>
  <c r="J18" i="14"/>
  <c r="G44" i="28"/>
  <c r="J27" i="4" s="1"/>
  <c r="H23" i="53"/>
  <c r="H20" i="53"/>
  <c r="L19" i="53"/>
  <c r="G25" i="53"/>
  <c r="H19" i="53"/>
  <c r="L18" i="14"/>
  <c r="F46" i="28"/>
  <c r="I139" i="3" s="1"/>
  <c r="I26" i="4" s="1"/>
  <c r="H29" i="53"/>
  <c r="E44" i="28"/>
  <c r="H27" i="4" s="1"/>
  <c r="F29" i="53"/>
  <c r="L26" i="53"/>
  <c r="J19" i="53"/>
  <c r="I15" i="53"/>
  <c r="I19" i="53"/>
  <c r="G19" i="53"/>
  <c r="E14" i="53"/>
  <c r="F23" i="53"/>
  <c r="G29" i="14"/>
  <c r="F44" i="28"/>
  <c r="I27" i="4" s="1"/>
  <c r="H25" i="53"/>
  <c r="L20" i="53"/>
  <c r="K21" i="53"/>
  <c r="L23" i="53"/>
  <c r="K22" i="53"/>
  <c r="G15" i="53"/>
  <c r="I20" i="53"/>
  <c r="K29" i="53"/>
  <c r="M177" i="56"/>
  <c r="M73" i="57" s="1"/>
  <c r="M231" i="57" s="1"/>
  <c r="K29" i="14"/>
  <c r="G26" i="53"/>
  <c r="L177" i="56"/>
  <c r="L73" i="57" s="1"/>
  <c r="L231" i="57" s="1"/>
  <c r="I29" i="14"/>
  <c r="J46" i="28"/>
  <c r="M139" i="3" s="1"/>
  <c r="M26" i="4" s="1"/>
  <c r="G177" i="56"/>
  <c r="G73" i="57" s="1"/>
  <c r="G231" i="57" s="1"/>
  <c r="H46" i="28"/>
  <c r="K139" i="3" s="1"/>
  <c r="K26" i="4" s="1"/>
  <c r="K177" i="56"/>
  <c r="K73" i="57" s="1"/>
  <c r="K231" i="57" s="1"/>
  <c r="J177" i="56"/>
  <c r="J73" i="57" s="1"/>
  <c r="J231" i="57" s="1"/>
  <c r="M8" i="55"/>
  <c r="M9" i="57"/>
  <c r="I9" i="57"/>
  <c r="H9" i="57"/>
  <c r="G15" i="49"/>
  <c r="G9" i="57"/>
  <c r="L32" i="3"/>
  <c r="L10" i="22" s="1"/>
  <c r="L9" i="57"/>
  <c r="G138" i="4"/>
  <c r="G161" i="56"/>
  <c r="G57" i="57" s="1"/>
  <c r="G215" i="57" s="1"/>
  <c r="H67" i="49"/>
  <c r="H117" i="49" s="1"/>
  <c r="H58" i="49"/>
  <c r="M62" i="49"/>
  <c r="M112" i="49" s="1"/>
  <c r="M58" i="49"/>
  <c r="I121" i="3"/>
  <c r="K121" i="3"/>
  <c r="L121" i="3"/>
  <c r="G121" i="3"/>
  <c r="M121" i="3"/>
  <c r="I36" i="28"/>
  <c r="K473" i="3" s="1"/>
  <c r="H121" i="3"/>
  <c r="K348" i="56"/>
  <c r="K436" i="57" s="1"/>
  <c r="K349" i="56" a="1"/>
  <c r="K349" i="56" s="1"/>
  <c r="K437" i="57" s="1"/>
  <c r="J349" i="56" a="1"/>
  <c r="J349" i="56" s="1"/>
  <c r="J437" i="57" s="1"/>
  <c r="J348" i="56"/>
  <c r="J436" i="57" s="1"/>
  <c r="M349" i="56" a="1"/>
  <c r="M349" i="56" s="1"/>
  <c r="M437" i="57" s="1"/>
  <c r="M348" i="56"/>
  <c r="M436" i="57" s="1"/>
  <c r="G349" i="56" a="1"/>
  <c r="G349" i="56" s="1"/>
  <c r="G348" i="56"/>
  <c r="L348" i="56"/>
  <c r="L436" i="57" s="1"/>
  <c r="L349" i="56" a="1"/>
  <c r="L349" i="56" s="1"/>
  <c r="L437" i="57" s="1"/>
  <c r="H348" i="56"/>
  <c r="H436" i="57" s="1"/>
  <c r="H349" i="56" a="1"/>
  <c r="H349" i="56" s="1"/>
  <c r="H437" i="57" s="1"/>
  <c r="I349" i="56" a="1"/>
  <c r="I349" i="56" s="1"/>
  <c r="I437" i="57" s="1"/>
  <c r="I348" i="56"/>
  <c r="I436" i="57" s="1"/>
  <c r="I432" i="56"/>
  <c r="I91" i="55" s="1"/>
  <c r="L432" i="56"/>
  <c r="L91" i="55" s="1"/>
  <c r="G432" i="56"/>
  <c r="G91" i="55" s="1"/>
  <c r="J432" i="56"/>
  <c r="J91" i="55" s="1"/>
  <c r="M432" i="56"/>
  <c r="M91" i="55" s="1"/>
  <c r="K432" i="56"/>
  <c r="K91" i="55" s="1"/>
  <c r="H432" i="56"/>
  <c r="H91" i="55" s="1"/>
  <c r="AA195" i="4"/>
  <c r="AA197" i="4"/>
  <c r="AA198" i="4"/>
  <c r="AA194" i="4"/>
  <c r="AE194" i="4" s="1"/>
  <c r="C196" i="4" s="1"/>
  <c r="C197" i="4" s="1"/>
  <c r="M74" i="49"/>
  <c r="M124" i="49" s="1"/>
  <c r="I21" i="49"/>
  <c r="I23" i="49" s="1"/>
  <c r="I74" i="49"/>
  <c r="I124" i="49" s="1"/>
  <c r="M10" i="25"/>
  <c r="H74" i="49"/>
  <c r="H124" i="49" s="1"/>
  <c r="H76" i="49"/>
  <c r="H126" i="49" s="1"/>
  <c r="M15" i="49"/>
  <c r="I76" i="49"/>
  <c r="I126" i="49" s="1"/>
  <c r="M32" i="3"/>
  <c r="M10" i="22" s="1"/>
  <c r="M33" i="56"/>
  <c r="M24" i="56" s="1"/>
  <c r="M43" i="4"/>
  <c r="J209" i="28" s="1"/>
  <c r="M76" i="49"/>
  <c r="M126" i="49" s="1"/>
  <c r="I15" i="49"/>
  <c r="I32" i="3"/>
  <c r="I10" i="22" s="1"/>
  <c r="H15" i="49"/>
  <c r="L10" i="25"/>
  <c r="H75" i="49"/>
  <c r="H125" i="49" s="1"/>
  <c r="I10" i="25"/>
  <c r="G74" i="49"/>
  <c r="G124" i="49" s="1"/>
  <c r="I8" i="55"/>
  <c r="I33" i="56"/>
  <c r="I24" i="56" s="1"/>
  <c r="I43" i="4"/>
  <c r="F209" i="28" s="1"/>
  <c r="G10" i="25"/>
  <c r="G32" i="3"/>
  <c r="G10" i="22" s="1"/>
  <c r="G43" i="4"/>
  <c r="D209" i="28" s="1"/>
  <c r="G8" i="55"/>
  <c r="H43" i="4"/>
  <c r="E209" i="28" s="1"/>
  <c r="H8" i="55"/>
  <c r="H32" i="3"/>
  <c r="H10" i="22" s="1"/>
  <c r="H33" i="56"/>
  <c r="H24" i="56" s="1"/>
  <c r="H10" i="25"/>
  <c r="M75" i="49"/>
  <c r="M125" i="49" s="1"/>
  <c r="M67" i="49"/>
  <c r="M117" i="49" s="1"/>
  <c r="L76" i="49"/>
  <c r="L126" i="49" s="1"/>
  <c r="G33" i="56"/>
  <c r="G24" i="56" s="1"/>
  <c r="G21" i="3"/>
  <c r="G136" i="3"/>
  <c r="G17" i="14" s="1"/>
  <c r="L42" i="49"/>
  <c r="L92" i="49" s="1"/>
  <c r="L62" i="49"/>
  <c r="L112" i="49" s="1"/>
  <c r="L75" i="49"/>
  <c r="L125" i="49" s="1"/>
  <c r="L74" i="49"/>
  <c r="L124" i="49" s="1"/>
  <c r="K74" i="49"/>
  <c r="K124" i="49" s="1"/>
  <c r="L37" i="49"/>
  <c r="L87" i="49" s="1"/>
  <c r="L32" i="49"/>
  <c r="L82" i="49" s="1"/>
  <c r="K62" i="49"/>
  <c r="K112" i="49" s="1"/>
  <c r="K67" i="49"/>
  <c r="K117" i="49" s="1"/>
  <c r="L54" i="49"/>
  <c r="L104" i="49" s="1"/>
  <c r="L43" i="4"/>
  <c r="I209" i="28" s="1"/>
  <c r="L33" i="56"/>
  <c r="L24" i="56" s="1"/>
  <c r="L15" i="49"/>
  <c r="L34" i="49"/>
  <c r="L84" i="49" s="1"/>
  <c r="L50" i="49"/>
  <c r="L100"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K75" i="49"/>
  <c r="K125" i="49" s="1"/>
  <c r="K76" i="49"/>
  <c r="K126" i="49" s="1"/>
  <c r="J75" i="49"/>
  <c r="J125" i="49" s="1"/>
  <c r="J132" i="49" s="1" a="1"/>
  <c r="J76" i="49"/>
  <c r="J126" i="49" s="1"/>
  <c r="J21" i="49"/>
  <c r="J23" i="49" s="1"/>
  <c r="K10" i="25"/>
  <c r="K43" i="4"/>
  <c r="H209" i="28" s="1"/>
  <c r="K32" i="3"/>
  <c r="K10" i="22" s="1"/>
  <c r="K8" i="55"/>
  <c r="K15" i="49"/>
  <c r="K33" i="56"/>
  <c r="K24" i="56" s="1"/>
  <c r="J10" i="25"/>
  <c r="J43" i="4"/>
  <c r="G209" i="28" s="1"/>
  <c r="J32" i="3"/>
  <c r="J10" i="22" s="1"/>
  <c r="J8" i="55"/>
  <c r="J33" i="56"/>
  <c r="J24" i="56" s="1"/>
  <c r="J15" i="49"/>
  <c r="M49" i="49"/>
  <c r="M99" i="49" s="1"/>
  <c r="M41" i="49"/>
  <c r="M91" i="49" s="1"/>
  <c r="M51" i="49"/>
  <c r="M101" i="49" s="1"/>
  <c r="M43" i="49"/>
  <c r="M93" i="49" s="1"/>
  <c r="M64" i="49"/>
  <c r="M114" i="49" s="1"/>
  <c r="M52" i="49"/>
  <c r="M102" i="49" s="1"/>
  <c r="M44" i="49"/>
  <c r="M94" i="49" s="1"/>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AE1" i="30" a="1"/>
  <c r="AE1" i="30" s="1"/>
  <c r="J26" i="4"/>
  <c r="I440" i="57" l="1"/>
  <c r="I514" i="57" s="1"/>
  <c r="M440" i="57"/>
  <c r="M514" i="57" s="1"/>
  <c r="J440" i="57"/>
  <c r="J514" i="57" s="1"/>
  <c r="H440" i="57"/>
  <c r="H514" i="57" s="1"/>
  <c r="H441" i="56"/>
  <c r="H101" i="55" s="1"/>
  <c r="H431" i="57"/>
  <c r="L440" i="57"/>
  <c r="L514" i="57" s="1"/>
  <c r="K440" i="57"/>
  <c r="K514" i="57" s="1"/>
  <c r="G436" i="57"/>
  <c r="G412" i="56"/>
  <c r="G69" i="55" s="1"/>
  <c r="G437" i="57"/>
  <c r="G422" i="56"/>
  <c r="G80" i="55" s="1"/>
  <c r="I161" i="56"/>
  <c r="I57" i="57" s="1"/>
  <c r="I215" i="57" s="1"/>
  <c r="I138" i="4"/>
  <c r="K161" i="56"/>
  <c r="K57" i="57" s="1"/>
  <c r="K215" i="57" s="1"/>
  <c r="M161" i="56"/>
  <c r="M57" i="57" s="1"/>
  <c r="M215" i="57" s="1"/>
  <c r="M138" i="4"/>
  <c r="K138" i="4"/>
  <c r="J161" i="56"/>
  <c r="J57" i="57" s="1"/>
  <c r="J215" i="57" s="1"/>
  <c r="J337" i="56"/>
  <c r="J342" i="56" s="1" a="1"/>
  <c r="J342" i="56" s="1"/>
  <c r="L138" i="4"/>
  <c r="L161" i="56"/>
  <c r="L57" i="57" s="1"/>
  <c r="L215" i="57" s="1"/>
  <c r="H138" i="4"/>
  <c r="H161" i="56"/>
  <c r="H57" i="57" s="1"/>
  <c r="H215" i="57" s="1"/>
  <c r="H341" i="56" a="1"/>
  <c r="H341" i="56" s="1"/>
  <c r="H430" i="57" s="1"/>
  <c r="H339" i="56"/>
  <c r="H428" i="57" s="1"/>
  <c r="H340" i="56" a="1"/>
  <c r="H340" i="56" s="1"/>
  <c r="H429" i="57" s="1"/>
  <c r="G339" i="56"/>
  <c r="G342" i="56" a="1"/>
  <c r="G342" i="56" s="1"/>
  <c r="G341" i="56" a="1"/>
  <c r="G341" i="56" s="1"/>
  <c r="G430" i="57" s="1"/>
  <c r="G340" i="56" a="1"/>
  <c r="G340" i="56" s="1"/>
  <c r="I342" i="56" a="1"/>
  <c r="I342" i="56" s="1"/>
  <c r="I340" i="56" a="1"/>
  <c r="I340" i="56" s="1"/>
  <c r="I429" i="57" s="1"/>
  <c r="L339" i="56"/>
  <c r="L428" i="57" s="1"/>
  <c r="L342" i="56" a="1"/>
  <c r="L342" i="56" s="1"/>
  <c r="L340" i="56" a="1"/>
  <c r="L340" i="56" s="1"/>
  <c r="L429" i="57" s="1"/>
  <c r="K342" i="56" a="1"/>
  <c r="K342" i="56" s="1"/>
  <c r="K340" i="56" a="1"/>
  <c r="K340" i="56" s="1"/>
  <c r="K429" i="57" s="1"/>
  <c r="M341" i="56" a="1"/>
  <c r="M341" i="56" s="1"/>
  <c r="M430" i="57" s="1"/>
  <c r="M342" i="56" a="1"/>
  <c r="M342" i="56" s="1"/>
  <c r="M340" i="56" a="1"/>
  <c r="M340" i="56" s="1"/>
  <c r="M429" i="57" s="1"/>
  <c r="K339" i="56"/>
  <c r="K428" i="57" s="1"/>
  <c r="I339" i="56"/>
  <c r="I428" i="57" s="1"/>
  <c r="L341" i="56" a="1"/>
  <c r="L341" i="56" s="1"/>
  <c r="L430" i="57" s="1"/>
  <c r="I341" i="56" a="1"/>
  <c r="I341" i="56" s="1"/>
  <c r="I430" i="57" s="1"/>
  <c r="K341" i="56" a="1"/>
  <c r="K341" i="56" s="1"/>
  <c r="K430" i="57" s="1"/>
  <c r="G23" i="49"/>
  <c r="G31" i="49" s="1"/>
  <c r="G81" i="49" s="1"/>
  <c r="K136" i="3"/>
  <c r="K17" i="14" s="1"/>
  <c r="K21" i="3"/>
  <c r="M27" i="14"/>
  <c r="M26" i="14"/>
  <c r="H27" i="14"/>
  <c r="H26" i="14"/>
  <c r="I27" i="14"/>
  <c r="I26" i="14"/>
  <c r="J27" i="14"/>
  <c r="J26" i="14"/>
  <c r="K27" i="14"/>
  <c r="K26" i="14"/>
  <c r="L27" i="14"/>
  <c r="L26" i="14"/>
  <c r="I136" i="3"/>
  <c r="I17" i="14" s="1"/>
  <c r="L21" i="3"/>
  <c r="G30" i="14"/>
  <c r="G35" i="14" s="1"/>
  <c r="M21" i="3"/>
  <c r="M136" i="3"/>
  <c r="M17" i="14" s="1"/>
  <c r="F522" i="3"/>
  <c r="A147" i="27"/>
  <c r="I132" i="49" a="1"/>
  <c r="J58" i="49"/>
  <c r="L136" i="3"/>
  <c r="L17" i="14" s="1"/>
  <c r="J473" i="3"/>
  <c r="I21" i="3"/>
  <c r="L473" i="3"/>
  <c r="M473" i="3"/>
  <c r="J21" i="3"/>
  <c r="H21" i="3"/>
  <c r="J136" i="3"/>
  <c r="J17" i="14" s="1"/>
  <c r="H136" i="3"/>
  <c r="H17" i="14" s="1"/>
  <c r="G473" i="3"/>
  <c r="H473" i="3"/>
  <c r="I473" i="3"/>
  <c r="I67" i="49"/>
  <c r="I117" i="49" s="1"/>
  <c r="I58" i="49"/>
  <c r="M422" i="56"/>
  <c r="M80" i="55" s="1"/>
  <c r="M412" i="56"/>
  <c r="M69" i="55" s="1"/>
  <c r="L422" i="56"/>
  <c r="L80" i="55" s="1"/>
  <c r="H422" i="56"/>
  <c r="H80" i="55" s="1"/>
  <c r="H412" i="56"/>
  <c r="H69" i="55" s="1"/>
  <c r="J412" i="56"/>
  <c r="J69" i="55" s="1"/>
  <c r="J422" i="56"/>
  <c r="J80" i="55" s="1"/>
  <c r="I422" i="56"/>
  <c r="I80" i="55" s="1"/>
  <c r="I412" i="56"/>
  <c r="I69" i="55" s="1"/>
  <c r="L412" i="56"/>
  <c r="L69" i="55" s="1"/>
  <c r="K422" i="56"/>
  <c r="K80" i="55" s="1"/>
  <c r="K412" i="56"/>
  <c r="K69" i="55" s="1"/>
  <c r="M132" i="49" a="1"/>
  <c r="AE195" i="4"/>
  <c r="AE196" i="4" s="1"/>
  <c r="AE197" i="4" s="1"/>
  <c r="AE198" i="4" s="1"/>
  <c r="AE199" i="4" s="1"/>
  <c r="AE200" i="4" s="1"/>
  <c r="E196" i="4"/>
  <c r="M196" i="4" s="1"/>
  <c r="G132" i="49" a="1"/>
  <c r="K132" i="49" a="1"/>
  <c r="K132" i="49" s="1"/>
  <c r="L132" i="49" a="1"/>
  <c r="H132" i="49" a="1"/>
  <c r="H132" i="49" s="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46" i="49"/>
  <c r="I96" i="49" s="1"/>
  <c r="I64" i="49"/>
  <c r="I114" i="49" s="1"/>
  <c r="I47" i="49"/>
  <c r="I97" i="49" s="1"/>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G132" i="49"/>
  <c r="L132" i="49"/>
  <c r="J132" i="49"/>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J1" i="30" a="1"/>
  <c r="AJ1" i="30" s="1"/>
  <c r="AO1" i="30" s="1" a="1"/>
  <c r="AO1" i="30" s="1"/>
  <c r="E197" i="4"/>
  <c r="C198" i="4"/>
  <c r="D196" i="4"/>
  <c r="L441" i="56" l="1"/>
  <c r="L101" i="55" s="1"/>
  <c r="L431" i="57"/>
  <c r="L432" i="57" s="1"/>
  <c r="L513" i="57" s="1"/>
  <c r="H432" i="57"/>
  <c r="H513" i="57" s="1"/>
  <c r="M441" i="56"/>
  <c r="M101" i="55" s="1"/>
  <c r="M431" i="57"/>
  <c r="M432" i="57" s="1"/>
  <c r="M513" i="57" s="1"/>
  <c r="I441" i="56"/>
  <c r="I101" i="55" s="1"/>
  <c r="I431" i="57"/>
  <c r="I432" i="57" s="1"/>
  <c r="I513" i="57" s="1"/>
  <c r="K441" i="56"/>
  <c r="K101" i="55" s="1"/>
  <c r="K431" i="57"/>
  <c r="K432" i="57" s="1"/>
  <c r="K513" i="57" s="1"/>
  <c r="G441" i="56"/>
  <c r="G101" i="55" s="1"/>
  <c r="G431" i="57"/>
  <c r="J441" i="56"/>
  <c r="J101" i="55" s="1"/>
  <c r="J431" i="57"/>
  <c r="G440" i="57"/>
  <c r="G514" i="57" s="1"/>
  <c r="G429" i="57"/>
  <c r="G421" i="56"/>
  <c r="G428" i="57"/>
  <c r="G411" i="56"/>
  <c r="G68" i="55" s="1"/>
  <c r="J340" i="56" a="1"/>
  <c r="J340" i="56" s="1"/>
  <c r="J429" i="57" s="1"/>
  <c r="J339" i="56"/>
  <c r="J428" i="57" s="1"/>
  <c r="J341" i="56" a="1"/>
  <c r="J341" i="56" s="1"/>
  <c r="J430" i="57" s="1"/>
  <c r="L30" i="14"/>
  <c r="L35" i="14" s="1"/>
  <c r="H30" i="14"/>
  <c r="H35" i="14" s="1"/>
  <c r="G58" i="49"/>
  <c r="G67" i="49"/>
  <c r="G117" i="49" s="1"/>
  <c r="G35" i="49"/>
  <c r="G85" i="49" s="1"/>
  <c r="G65" i="49"/>
  <c r="G115" i="49" s="1"/>
  <c r="G53" i="49"/>
  <c r="G103" i="49" s="1"/>
  <c r="G56" i="49"/>
  <c r="G106" i="49" s="1"/>
  <c r="G50" i="49"/>
  <c r="G100" i="49" s="1"/>
  <c r="G54" i="49"/>
  <c r="G104" i="49" s="1"/>
  <c r="G41" i="49"/>
  <c r="G91" i="49" s="1"/>
  <c r="G40" i="49"/>
  <c r="G90" i="49" s="1"/>
  <c r="G44" i="49"/>
  <c r="G94" i="49" s="1"/>
  <c r="G38" i="49"/>
  <c r="G88" i="49" s="1"/>
  <c r="G55" i="49"/>
  <c r="G105" i="49" s="1"/>
  <c r="G51" i="49"/>
  <c r="G101" i="49" s="1"/>
  <c r="G33" i="49"/>
  <c r="G83" i="49" s="1"/>
  <c r="G37" i="49"/>
  <c r="G87" i="49" s="1"/>
  <c r="G62" i="49"/>
  <c r="G112" i="49" s="1"/>
  <c r="G46" i="49"/>
  <c r="G96" i="49" s="1"/>
  <c r="G49" i="49"/>
  <c r="G99" i="49" s="1"/>
  <c r="G32" i="49"/>
  <c r="G82" i="49" s="1"/>
  <c r="G42" i="49"/>
  <c r="G92" i="49" s="1"/>
  <c r="G43" i="49"/>
  <c r="G93" i="49" s="1"/>
  <c r="G52" i="49"/>
  <c r="G102" i="49" s="1"/>
  <c r="G48" i="49"/>
  <c r="G98" i="49" s="1"/>
  <c r="G36" i="49"/>
  <c r="G86" i="49" s="1"/>
  <c r="G64" i="49"/>
  <c r="G114" i="49" s="1"/>
  <c r="G45" i="49"/>
  <c r="G95" i="49" s="1"/>
  <c r="G34" i="49"/>
  <c r="G84" i="49" s="1"/>
  <c r="G47" i="49"/>
  <c r="G97" i="49" s="1"/>
  <c r="G39" i="49"/>
  <c r="G89" i="49" s="1"/>
  <c r="G66" i="49"/>
  <c r="G116" i="49" s="1"/>
  <c r="G30" i="49"/>
  <c r="G80" i="49" s="1"/>
  <c r="I30" i="14"/>
  <c r="I35" i="14" s="1"/>
  <c r="K30" i="14"/>
  <c r="K35" i="14" s="1"/>
  <c r="J30" i="14"/>
  <c r="J35" i="14" s="1"/>
  <c r="M30" i="14"/>
  <c r="M35" i="14" s="1"/>
  <c r="F523" i="3"/>
  <c r="A148" i="27"/>
  <c r="L196" i="4"/>
  <c r="K196" i="4"/>
  <c r="G196" i="4"/>
  <c r="H196" i="4"/>
  <c r="I196" i="4"/>
  <c r="J196" i="4"/>
  <c r="AT1" i="30" a="1"/>
  <c r="AT1" i="30" s="1"/>
  <c r="E198" i="4"/>
  <c r="C199" i="4"/>
  <c r="I197" i="4"/>
  <c r="H197" i="4"/>
  <c r="G197" i="4"/>
  <c r="M197" i="4"/>
  <c r="L197" i="4"/>
  <c r="K197" i="4"/>
  <c r="J197" i="4"/>
  <c r="D197" i="4"/>
  <c r="B196" i="4"/>
  <c r="A149" i="27" l="1"/>
  <c r="F524" i="3"/>
  <c r="A150" i="27" s="1"/>
  <c r="J432" i="57"/>
  <c r="J513" i="57" s="1"/>
  <c r="G79" i="55"/>
  <c r="G432" i="57"/>
  <c r="G513" i="57" s="1"/>
  <c r="AY1" i="30" a="1"/>
  <c r="AY1" i="30" s="1"/>
  <c r="BD1" i="30" s="1" a="1"/>
  <c r="BD1" i="30" s="1"/>
  <c r="BI1" i="30" s="1" a="1"/>
  <c r="BI1" i="30" s="1"/>
  <c r="E199" i="4"/>
  <c r="C200" i="4"/>
  <c r="J198" i="4"/>
  <c r="I198" i="4"/>
  <c r="H198" i="4"/>
  <c r="G198" i="4"/>
  <c r="M198" i="4"/>
  <c r="L198" i="4"/>
  <c r="K198" i="4"/>
  <c r="B197" i="4"/>
  <c r="D198" i="4"/>
  <c r="BO1" i="30" l="1" a="1"/>
  <c r="BO1" i="30" s="1"/>
  <c r="BT1" i="30" s="1" a="1"/>
  <c r="BT1" i="30" s="1"/>
  <c r="C201" i="4"/>
  <c r="E200" i="4"/>
  <c r="J199" i="4"/>
  <c r="I199" i="4"/>
  <c r="H199" i="4"/>
  <c r="G199" i="4"/>
  <c r="M199" i="4"/>
  <c r="K199" i="4"/>
  <c r="L199" i="4"/>
  <c r="D199" i="4"/>
  <c r="B198" i="4"/>
  <c r="BY1" i="30" l="1" a="1"/>
  <c r="BY1" i="30" s="1"/>
  <c r="J200" i="4"/>
  <c r="I200" i="4"/>
  <c r="H200" i="4"/>
  <c r="G200" i="4"/>
  <c r="M200" i="4"/>
  <c r="K200" i="4"/>
  <c r="L200" i="4"/>
  <c r="C202" i="4"/>
  <c r="E201" i="4"/>
  <c r="B199" i="4"/>
  <c r="D200" i="4"/>
  <c r="D201" i="4"/>
  <c r="CD1" i="30" l="1" a="1"/>
  <c r="CD1" i="30" s="1"/>
  <c r="C203" i="4"/>
  <c r="E202" i="4"/>
  <c r="B200" i="4"/>
  <c r="D202" i="4"/>
  <c r="B201" i="4"/>
  <c r="C229" i="28" l="1"/>
  <c r="CI1" i="30" a="1"/>
  <c r="CI1" i="30" s="1"/>
  <c r="C204" i="4"/>
  <c r="E203" i="4"/>
  <c r="B202" i="4"/>
  <c r="D203" i="4"/>
  <c r="A106" i="27" l="1"/>
  <c r="B106" i="27" s="1"/>
  <c r="C230" i="28"/>
  <c r="CN1" i="30" a="1"/>
  <c r="CN1" i="30" s="1"/>
  <c r="C205" i="4"/>
  <c r="E204" i="4"/>
  <c r="D204" i="4"/>
  <c r="B203" i="4"/>
  <c r="A107" i="27" l="1"/>
  <c r="B107" i="27" s="1"/>
  <c r="C206" i="4"/>
  <c r="E205" i="4"/>
  <c r="B204" i="4"/>
  <c r="D205" i="4"/>
  <c r="C207" i="4" l="1"/>
  <c r="E206" i="4"/>
  <c r="F205" i="4"/>
  <c r="F203" i="4"/>
  <c r="F201" i="4"/>
  <c r="F202" i="4"/>
  <c r="F200" i="4"/>
  <c r="B205" i="4"/>
  <c r="D206" i="4"/>
  <c r="D15" i="52" l="1"/>
  <c r="C208" i="4"/>
  <c r="E207" i="4"/>
  <c r="F206" i="4"/>
  <c r="B206" i="4"/>
  <c r="D207" i="4"/>
  <c r="D16" i="52" l="1"/>
  <c r="I124" i="52"/>
  <c r="E125" i="52" s="1"/>
  <c r="C209" i="4"/>
  <c r="E208" i="4"/>
  <c r="F207" i="4"/>
  <c r="B207" i="4"/>
  <c r="D208" i="4"/>
  <c r="I125" i="52" l="1"/>
  <c r="E120" i="52" a="1"/>
  <c r="E120" i="52" s="1"/>
  <c r="D17" i="52" a="1"/>
  <c r="D17" i="52" s="1"/>
  <c r="E126" i="52" a="1"/>
  <c r="E126" i="52" s="1"/>
  <c r="C210" i="4"/>
  <c r="E209" i="4"/>
  <c r="B208" i="4"/>
  <c r="D209"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C211" i="4"/>
  <c r="E210" i="4"/>
  <c r="F209" i="4"/>
  <c r="D210" i="4"/>
  <c r="B209" i="4"/>
  <c r="C212" i="4" l="1"/>
  <c r="E211" i="4"/>
  <c r="F210" i="4"/>
  <c r="D211" i="4"/>
  <c r="B210" i="4"/>
  <c r="C227" i="28" l="1"/>
  <c r="A104" i="27" s="1"/>
  <c r="B104" i="27" s="1"/>
  <c r="C213" i="4"/>
  <c r="E212" i="4"/>
  <c r="F211" i="4"/>
  <c r="B211" i="4"/>
  <c r="D212" i="4"/>
  <c r="C214" i="4" l="1"/>
  <c r="E213" i="4"/>
  <c r="F212" i="4"/>
  <c r="B212" i="4"/>
  <c r="D213" i="4"/>
  <c r="C215" i="4" l="1"/>
  <c r="E214" i="4"/>
  <c r="F213" i="4"/>
  <c r="D214" i="4"/>
  <c r="B213" i="4"/>
  <c r="C216" i="4" l="1"/>
  <c r="E215" i="4"/>
  <c r="F214" i="4"/>
  <c r="D215" i="4"/>
  <c r="B214" i="4"/>
  <c r="C217" i="4" l="1"/>
  <c r="E216" i="4"/>
  <c r="F215" i="4"/>
  <c r="D216" i="4"/>
  <c r="B215" i="4"/>
  <c r="C218" i="4" l="1"/>
  <c r="E217" i="4"/>
  <c r="F216" i="4"/>
  <c r="D217" i="4"/>
  <c r="B216" i="4"/>
  <c r="C219" i="4" l="1"/>
  <c r="E218" i="4"/>
  <c r="F217" i="4"/>
  <c r="D218" i="4"/>
  <c r="B217" i="4"/>
  <c r="C220" i="4" l="1"/>
  <c r="E219" i="4"/>
  <c r="F218" i="4"/>
  <c r="D219" i="4"/>
  <c r="B218" i="4"/>
  <c r="F219" i="4" l="1"/>
  <c r="C221" i="4"/>
  <c r="E220" i="4"/>
  <c r="D220" i="4"/>
  <c r="B219" i="4"/>
  <c r="F220" i="4" l="1"/>
  <c r="C222" i="4"/>
  <c r="E221" i="4"/>
  <c r="B220" i="4"/>
  <c r="D221" i="4"/>
  <c r="F221" i="4" l="1"/>
  <c r="C223" i="4"/>
  <c r="E222" i="4"/>
  <c r="D222" i="4"/>
  <c r="B221" i="4"/>
  <c r="F222" i="4" l="1"/>
  <c r="C224" i="4"/>
  <c r="E223" i="4"/>
  <c r="D223" i="4"/>
  <c r="B222" i="4"/>
  <c r="F223" i="4" l="1"/>
  <c r="C225" i="4"/>
  <c r="E224" i="4"/>
  <c r="D224" i="4"/>
  <c r="B223" i="4"/>
  <c r="F224" i="4" l="1"/>
  <c r="C226" i="4"/>
  <c r="E225" i="4"/>
  <c r="B224" i="4"/>
  <c r="D225" i="4"/>
  <c r="F225" i="4" l="1"/>
  <c r="C227" i="4"/>
  <c r="E226" i="4"/>
  <c r="D226" i="4"/>
  <c r="B225" i="4"/>
  <c r="F226" i="4" l="1"/>
  <c r="C228" i="4"/>
  <c r="E227" i="4"/>
  <c r="B226" i="4"/>
  <c r="D227" i="4"/>
  <c r="F227" i="4" l="1"/>
  <c r="C229" i="4"/>
  <c r="E228" i="4"/>
  <c r="D228" i="4"/>
  <c r="B227" i="4"/>
  <c r="F228" i="4" l="1"/>
  <c r="C230" i="4"/>
  <c r="E229" i="4"/>
  <c r="D229" i="4"/>
  <c r="B228" i="4"/>
  <c r="F229" i="4" l="1"/>
  <c r="C231" i="4"/>
  <c r="E230" i="4"/>
  <c r="B229" i="4"/>
  <c r="D230" i="4"/>
  <c r="C223" i="28" l="1"/>
  <c r="A100" i="27" s="1"/>
  <c r="B100" i="27" s="1"/>
  <c r="F230" i="4"/>
  <c r="C232" i="4"/>
  <c r="E231" i="4"/>
  <c r="B230" i="4"/>
  <c r="D231" i="4"/>
  <c r="B98" i="27" l="1"/>
  <c r="C224" i="28"/>
  <c r="A101" i="27" s="1"/>
  <c r="B101" i="27" s="1"/>
  <c r="F231" i="4"/>
  <c r="C233" i="4"/>
  <c r="E232" i="4"/>
  <c r="B231" i="4"/>
  <c r="D232" i="4"/>
  <c r="F232" i="4" l="1"/>
  <c r="C234" i="4"/>
  <c r="E233" i="4"/>
  <c r="B232" i="4"/>
  <c r="D233" i="4"/>
  <c r="F233" i="4" l="1"/>
  <c r="C235" i="4"/>
  <c r="E234" i="4"/>
  <c r="B233" i="4"/>
  <c r="D234" i="4"/>
  <c r="F234" i="4" l="1"/>
  <c r="C236" i="4"/>
  <c r="E235" i="4"/>
  <c r="D235" i="4"/>
  <c r="B234" i="4"/>
  <c r="C237" i="4" l="1"/>
  <c r="E236" i="4"/>
  <c r="F235" i="4"/>
  <c r="B235" i="4"/>
  <c r="D236" i="4"/>
  <c r="F236" i="4" l="1"/>
  <c r="C238" i="4"/>
  <c r="E237" i="4"/>
  <c r="B236" i="4"/>
  <c r="D237" i="4"/>
  <c r="F237" i="4" l="1"/>
  <c r="C239" i="4"/>
  <c r="E238" i="4"/>
  <c r="B237" i="4"/>
  <c r="D238" i="4"/>
  <c r="F238" i="4" l="1"/>
  <c r="C240" i="4"/>
  <c r="C241" i="4" s="1"/>
  <c r="E239" i="4"/>
  <c r="D239" i="4"/>
  <c r="B238" i="4"/>
  <c r="E241" i="4" l="1"/>
  <c r="F239" i="4"/>
  <c r="E240" i="4"/>
  <c r="B239" i="4"/>
  <c r="D240" i="4"/>
  <c r="F241" i="4" l="1"/>
  <c r="F240" i="4"/>
  <c r="C242" i="4"/>
  <c r="J241" i="4"/>
  <c r="H241" i="4"/>
  <c r="I241" i="4"/>
  <c r="L241" i="4"/>
  <c r="G241" i="4"/>
  <c r="M241" i="4"/>
  <c r="K241" i="4"/>
  <c r="B240" i="4"/>
  <c r="D241" i="4"/>
  <c r="C243" i="4" l="1"/>
  <c r="E242" i="4"/>
  <c r="D242" i="4"/>
  <c r="B241" i="4"/>
  <c r="F242" i="4" l="1"/>
  <c r="C244" i="4"/>
  <c r="E243" i="4"/>
  <c r="B242" i="4"/>
  <c r="D243" i="4"/>
  <c r="C245" i="4" l="1"/>
  <c r="E244" i="4"/>
  <c r="F243" i="4"/>
  <c r="B243" i="4"/>
  <c r="D244" i="4"/>
  <c r="F244" i="4" l="1"/>
  <c r="C246" i="4"/>
  <c r="E245" i="4"/>
  <c r="F208" i="4"/>
  <c r="F204" i="4"/>
  <c r="D245" i="4"/>
  <c r="B244" i="4"/>
  <c r="C247" i="4" l="1"/>
  <c r="E246" i="4"/>
  <c r="F245" i="4"/>
  <c r="D246" i="4"/>
  <c r="B245" i="4"/>
  <c r="D21" i="52" l="1"/>
  <c r="F246" i="4"/>
  <c r="C248" i="4"/>
  <c r="E247" i="4"/>
  <c r="D247" i="4"/>
  <c r="B246" i="4"/>
  <c r="J124" i="52" l="1"/>
  <c r="E133" i="52" s="1"/>
  <c r="E119" i="52" s="1"/>
  <c r="D22" i="52"/>
  <c r="C249" i="4"/>
  <c r="E248" i="4"/>
  <c r="F247" i="4"/>
  <c r="B247" i="4"/>
  <c r="D248" i="4"/>
  <c r="K24" i="3" l="1"/>
  <c r="J24" i="3"/>
  <c r="M24" i="3"/>
  <c r="L24" i="3"/>
  <c r="I24" i="3"/>
  <c r="H24" i="3"/>
  <c r="D23" i="52" a="1"/>
  <c r="D23" i="52" s="1"/>
  <c r="J125" i="52"/>
  <c r="E121" i="52" a="1"/>
  <c r="E121" i="52" s="1"/>
  <c r="E134" i="52" a="1"/>
  <c r="E134" i="52" s="1"/>
  <c r="C222" i="28"/>
  <c r="A99" i="27" s="1"/>
  <c r="B99" i="27" s="1"/>
  <c r="F248" i="4"/>
  <c r="C250" i="4"/>
  <c r="E249" i="4"/>
  <c r="B248" i="4"/>
  <c r="D249" i="4"/>
  <c r="I143" i="28" l="1"/>
  <c r="I141" i="28"/>
  <c r="I142" i="28" s="1"/>
  <c r="L513" i="3" s="1"/>
  <c r="L15" i="3"/>
  <c r="L443" i="3" s="1"/>
  <c r="L13" i="14"/>
  <c r="J141" i="28"/>
  <c r="J142" i="28" s="1"/>
  <c r="M513" i="3" s="1"/>
  <c r="J143" i="28"/>
  <c r="M13" i="14"/>
  <c r="M15" i="3"/>
  <c r="M443" i="3" s="1"/>
  <c r="G141" i="28"/>
  <c r="G142" i="28" s="1"/>
  <c r="J513" i="3" s="1"/>
  <c r="J15" i="3"/>
  <c r="J443" i="3" s="1"/>
  <c r="G143" i="28"/>
  <c r="J13" i="14"/>
  <c r="K15" i="3"/>
  <c r="K443" i="3" s="1"/>
  <c r="H143" i="28"/>
  <c r="K13" i="14"/>
  <c r="H141" i="28"/>
  <c r="H142" i="28" s="1"/>
  <c r="K513" i="3" s="1"/>
  <c r="H15" i="3"/>
  <c r="H443" i="3" s="1"/>
  <c r="E141" i="28"/>
  <c r="E142" i="28" s="1"/>
  <c r="H513" i="3" s="1"/>
  <c r="E143" i="28"/>
  <c r="H13" i="14"/>
  <c r="I15" i="3"/>
  <c r="I443" i="3" s="1"/>
  <c r="I13" i="14"/>
  <c r="F143" i="28"/>
  <c r="F141" i="28"/>
  <c r="F142" i="28" s="1"/>
  <c r="I513" i="3" s="1"/>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C251" i="4"/>
  <c r="E250" i="4"/>
  <c r="F249" i="4"/>
  <c r="M249" i="4"/>
  <c r="G249" i="4"/>
  <c r="J249" i="4"/>
  <c r="L249" i="4"/>
  <c r="H249" i="4"/>
  <c r="I249" i="4"/>
  <c r="K249" i="4"/>
  <c r="D250" i="4"/>
  <c r="B249" i="4"/>
  <c r="J34" i="14" l="1"/>
  <c r="J36" i="14" s="1"/>
  <c r="H34" i="14"/>
  <c r="H36" i="14" s="1"/>
  <c r="M34" i="14"/>
  <c r="M36" i="14" s="1"/>
  <c r="I34" i="14"/>
  <c r="I36" i="14" s="1"/>
  <c r="K34" i="14"/>
  <c r="K36" i="14" s="1"/>
  <c r="L34" i="14"/>
  <c r="L36" i="14" s="1"/>
  <c r="M108" i="49"/>
  <c r="L108" i="49"/>
  <c r="I108" i="49"/>
  <c r="H108" i="49"/>
  <c r="K108" i="49"/>
  <c r="J108" i="49"/>
  <c r="G108" i="49"/>
  <c r="E136" i="52"/>
  <c r="E138" i="52" s="1"/>
  <c r="F250" i="4"/>
  <c r="C252" i="4"/>
  <c r="E251" i="4"/>
  <c r="H250" i="4"/>
  <c r="I250" i="4"/>
  <c r="M250" i="4"/>
  <c r="G250" i="4"/>
  <c r="L250" i="4"/>
  <c r="J250" i="4"/>
  <c r="K250" i="4"/>
  <c r="B250" i="4"/>
  <c r="D251" i="4"/>
  <c r="G24" i="3" l="1"/>
  <c r="F251" i="4"/>
  <c r="C253" i="4"/>
  <c r="E252" i="4"/>
  <c r="B251" i="4"/>
  <c r="D252" i="4"/>
  <c r="G13" i="14" l="1"/>
  <c r="D141" i="28"/>
  <c r="G15" i="3"/>
  <c r="D143" i="28"/>
  <c r="F252" i="4"/>
  <c r="C254" i="4"/>
  <c r="E253" i="4"/>
  <c r="D253" i="4"/>
  <c r="B252" i="4"/>
  <c r="D142" i="28" l="1"/>
  <c r="G513" i="3" s="1"/>
  <c r="G34" i="14"/>
  <c r="G36" i="14" s="1"/>
  <c r="G443" i="3"/>
  <c r="C255" i="4"/>
  <c r="E254" i="4"/>
  <c r="F253" i="4"/>
  <c r="D254" i="4"/>
  <c r="B253" i="4"/>
  <c r="F254" i="4" l="1"/>
  <c r="C256" i="4"/>
  <c r="E255" i="4"/>
  <c r="B254" i="4"/>
  <c r="D255" i="4"/>
  <c r="C257" i="4" l="1"/>
  <c r="E256" i="4"/>
  <c r="F255" i="4"/>
  <c r="D256" i="4"/>
  <c r="B255" i="4"/>
  <c r="F256" i="4" l="1"/>
  <c r="C258" i="4"/>
  <c r="E257" i="4"/>
  <c r="D257" i="4"/>
  <c r="B256" i="4"/>
  <c r="E103" i="52" l="1"/>
  <c r="C220" i="28"/>
  <c r="C259" i="4"/>
  <c r="E258" i="4"/>
  <c r="F257" i="4"/>
  <c r="D258" i="4"/>
  <c r="B257" i="4"/>
  <c r="A97" i="27" l="1"/>
  <c r="A74" i="27" s="1"/>
  <c r="E154" i="28" a="1"/>
  <c r="E154" i="28" s="1"/>
  <c r="F258" i="4"/>
  <c r="C260" i="4"/>
  <c r="E259" i="4"/>
  <c r="D259" i="4"/>
  <c r="B258" i="4"/>
  <c r="B97" i="27" l="1"/>
  <c r="B95" i="27"/>
  <c r="F259" i="4"/>
  <c r="C261" i="4"/>
  <c r="E260" i="4"/>
  <c r="D260" i="4"/>
  <c r="B259" i="4"/>
  <c r="G260" i="4" l="1"/>
  <c r="F260" i="4"/>
  <c r="M260" i="4"/>
  <c r="L260" i="4"/>
  <c r="K260" i="4"/>
  <c r="J260" i="4"/>
  <c r="I260" i="4"/>
  <c r="H260" i="4"/>
  <c r="C262" i="4"/>
  <c r="E261" i="4"/>
  <c r="B260" i="4"/>
  <c r="D261" i="4"/>
  <c r="K261" i="4" l="1"/>
  <c r="J261" i="4"/>
  <c r="I261" i="4"/>
  <c r="H261" i="4"/>
  <c r="G261" i="4"/>
  <c r="F261" i="4"/>
  <c r="L261" i="4"/>
  <c r="M261" i="4"/>
  <c r="C263" i="4"/>
  <c r="E262" i="4"/>
  <c r="B261" i="4"/>
  <c r="D262" i="4"/>
  <c r="G262" i="4" l="1"/>
  <c r="F262" i="4"/>
  <c r="M262" i="4"/>
  <c r="L262" i="4"/>
  <c r="K262" i="4"/>
  <c r="J262" i="4"/>
  <c r="I262" i="4"/>
  <c r="H262" i="4"/>
  <c r="C264" i="4"/>
  <c r="E263" i="4"/>
  <c r="D263" i="4"/>
  <c r="B262" i="4"/>
  <c r="C265" i="4" l="1"/>
  <c r="E264" i="4"/>
  <c r="K263" i="4"/>
  <c r="J263" i="4"/>
  <c r="I263" i="4"/>
  <c r="H263" i="4"/>
  <c r="G263" i="4"/>
  <c r="F263" i="4"/>
  <c r="L263" i="4"/>
  <c r="M263" i="4"/>
  <c r="D264" i="4"/>
  <c r="B263" i="4"/>
  <c r="G264" i="4" l="1"/>
  <c r="F264" i="4"/>
  <c r="M264" i="4"/>
  <c r="L264" i="4"/>
  <c r="K264" i="4"/>
  <c r="J264" i="4"/>
  <c r="H264" i="4"/>
  <c r="I264" i="4"/>
  <c r="C266" i="4"/>
  <c r="E265" i="4"/>
  <c r="B264" i="4"/>
  <c r="D265" i="4"/>
  <c r="K265" i="4" l="1"/>
  <c r="J265" i="4"/>
  <c r="I265" i="4"/>
  <c r="H265" i="4"/>
  <c r="G265" i="4"/>
  <c r="F265" i="4"/>
  <c r="M265" i="4"/>
  <c r="L265" i="4"/>
  <c r="C267" i="4"/>
  <c r="E266" i="4"/>
  <c r="D266" i="4"/>
  <c r="B265" i="4"/>
  <c r="C268" i="4" l="1"/>
  <c r="E267" i="4"/>
  <c r="G266" i="4"/>
  <c r="F266" i="4"/>
  <c r="M266" i="4"/>
  <c r="L266" i="4"/>
  <c r="K266" i="4"/>
  <c r="J266" i="4"/>
  <c r="I266" i="4"/>
  <c r="H266" i="4"/>
  <c r="D267" i="4"/>
  <c r="B266" i="4"/>
  <c r="C269" i="4" l="1"/>
  <c r="E268" i="4"/>
  <c r="K267" i="4"/>
  <c r="J267" i="4"/>
  <c r="I267" i="4"/>
  <c r="H267" i="4"/>
  <c r="G267" i="4"/>
  <c r="F267" i="4"/>
  <c r="M267" i="4"/>
  <c r="L267" i="4"/>
  <c r="B267" i="4"/>
  <c r="D268" i="4"/>
  <c r="G268" i="4" l="1"/>
  <c r="F268" i="4"/>
  <c r="M268" i="4"/>
  <c r="L268" i="4"/>
  <c r="K268" i="4"/>
  <c r="J268" i="4"/>
  <c r="I268" i="4"/>
  <c r="H268" i="4"/>
  <c r="C270" i="4"/>
  <c r="E269" i="4"/>
  <c r="D269" i="4"/>
  <c r="B268" i="4"/>
  <c r="C271" i="4" l="1"/>
  <c r="E270" i="4"/>
  <c r="K269" i="4"/>
  <c r="J269" i="4"/>
  <c r="I269" i="4"/>
  <c r="H269" i="4"/>
  <c r="G269" i="4"/>
  <c r="F269" i="4"/>
  <c r="L269" i="4"/>
  <c r="M269" i="4"/>
  <c r="D270" i="4"/>
  <c r="B269" i="4"/>
  <c r="G270" i="4" l="1"/>
  <c r="F270" i="4"/>
  <c r="M270" i="4"/>
  <c r="L270" i="4"/>
  <c r="K270" i="4"/>
  <c r="J270" i="4"/>
  <c r="I270" i="4"/>
  <c r="H270" i="4"/>
  <c r="C272" i="4"/>
  <c r="E271" i="4"/>
  <c r="D271" i="4"/>
  <c r="B270" i="4"/>
  <c r="C273" i="4" l="1"/>
  <c r="E272" i="4"/>
  <c r="K271" i="4"/>
  <c r="J271" i="4"/>
  <c r="I271" i="4"/>
  <c r="H271" i="4"/>
  <c r="G271" i="4"/>
  <c r="F271" i="4"/>
  <c r="M271" i="4"/>
  <c r="L271" i="4"/>
  <c r="D272" i="4"/>
  <c r="B271" i="4"/>
  <c r="G272" i="4" l="1"/>
  <c r="F272" i="4"/>
  <c r="M272" i="4"/>
  <c r="L272" i="4"/>
  <c r="K272" i="4"/>
  <c r="J272" i="4"/>
  <c r="H272" i="4"/>
  <c r="I272" i="4"/>
  <c r="C274" i="4"/>
  <c r="E273" i="4"/>
  <c r="B272" i="4"/>
  <c r="D273" i="4"/>
  <c r="K273" i="4" l="1"/>
  <c r="J273" i="4"/>
  <c r="I273" i="4"/>
  <c r="H273" i="4"/>
  <c r="G273" i="4"/>
  <c r="F273" i="4"/>
  <c r="M273" i="4"/>
  <c r="L273" i="4"/>
  <c r="C275" i="4"/>
  <c r="E274" i="4"/>
  <c r="D274" i="4"/>
  <c r="B273" i="4"/>
  <c r="G274" i="4" l="1"/>
  <c r="F274" i="4"/>
  <c r="M274" i="4"/>
  <c r="L274" i="4"/>
  <c r="K274" i="4"/>
  <c r="J274" i="4"/>
  <c r="I274" i="4"/>
  <c r="H274" i="4"/>
  <c r="C276" i="4"/>
  <c r="E275" i="4"/>
  <c r="D275" i="4"/>
  <c r="B274" i="4"/>
  <c r="C277" i="4" l="1"/>
  <c r="E276" i="4"/>
  <c r="K275" i="4"/>
  <c r="J275" i="4"/>
  <c r="I275" i="4"/>
  <c r="H275" i="4"/>
  <c r="G275" i="4"/>
  <c r="F275" i="4"/>
  <c r="M275" i="4"/>
  <c r="L275" i="4"/>
  <c r="B275" i="4"/>
  <c r="D276" i="4"/>
  <c r="G276" i="4" l="1"/>
  <c r="F276" i="4"/>
  <c r="M276" i="4"/>
  <c r="L276" i="4"/>
  <c r="K276" i="4"/>
  <c r="J276" i="4"/>
  <c r="I276" i="4"/>
  <c r="H276" i="4"/>
  <c r="C278" i="4"/>
  <c r="E277" i="4"/>
  <c r="B276" i="4"/>
  <c r="D277" i="4"/>
  <c r="C279" i="4" l="1"/>
  <c r="E278" i="4"/>
  <c r="K277" i="4"/>
  <c r="J277" i="4"/>
  <c r="I277" i="4"/>
  <c r="H277" i="4"/>
  <c r="G277" i="4"/>
  <c r="F277" i="4"/>
  <c r="L277" i="4"/>
  <c r="M277" i="4"/>
  <c r="D278" i="4"/>
  <c r="B277" i="4"/>
  <c r="G278" i="4" l="1"/>
  <c r="F278" i="4"/>
  <c r="M278" i="4"/>
  <c r="L278" i="4"/>
  <c r="K278" i="4"/>
  <c r="J278" i="4"/>
  <c r="I278" i="4"/>
  <c r="H278" i="4"/>
  <c r="C280" i="4"/>
  <c r="E279" i="4"/>
  <c r="B278" i="4"/>
  <c r="D279" i="4"/>
  <c r="C281" i="4" l="1"/>
  <c r="E280" i="4"/>
  <c r="K279" i="4"/>
  <c r="J279" i="4"/>
  <c r="I279" i="4"/>
  <c r="H279" i="4"/>
  <c r="G279" i="4"/>
  <c r="F279" i="4"/>
  <c r="M279" i="4"/>
  <c r="L279" i="4"/>
  <c r="B279" i="4"/>
  <c r="D280" i="4"/>
  <c r="G280" i="4" l="1"/>
  <c r="F280" i="4"/>
  <c r="M280" i="4"/>
  <c r="L280" i="4"/>
  <c r="K280" i="4"/>
  <c r="J280" i="4"/>
  <c r="H280" i="4"/>
  <c r="I280" i="4"/>
  <c r="C282" i="4"/>
  <c r="E281" i="4"/>
  <c r="B280" i="4"/>
  <c r="D281" i="4"/>
  <c r="C283" i="4" l="1"/>
  <c r="E282" i="4"/>
  <c r="K281" i="4"/>
  <c r="J281" i="4"/>
  <c r="I281" i="4"/>
  <c r="H281" i="4"/>
  <c r="G281" i="4"/>
  <c r="F281" i="4"/>
  <c r="M281" i="4"/>
  <c r="L281" i="4"/>
  <c r="D282" i="4"/>
  <c r="B281" i="4"/>
  <c r="G282" i="4" l="1"/>
  <c r="F282" i="4"/>
  <c r="M282" i="4"/>
  <c r="L282" i="4"/>
  <c r="K282" i="4"/>
  <c r="J282" i="4"/>
  <c r="I282" i="4"/>
  <c r="H282" i="4"/>
  <c r="C284" i="4"/>
  <c r="E283" i="4"/>
  <c r="B282" i="4"/>
  <c r="D283" i="4"/>
  <c r="C285" i="4" l="1"/>
  <c r="E284" i="4"/>
  <c r="K283" i="4"/>
  <c r="J283" i="4"/>
  <c r="I283" i="4"/>
  <c r="H283" i="4"/>
  <c r="G283" i="4"/>
  <c r="F283" i="4"/>
  <c r="M283" i="4"/>
  <c r="L283" i="4"/>
  <c r="D284" i="4"/>
  <c r="B283" i="4"/>
  <c r="G284" i="4" l="1"/>
  <c r="F284" i="4"/>
  <c r="M284" i="4"/>
  <c r="L284" i="4"/>
  <c r="K284" i="4"/>
  <c r="J284" i="4"/>
  <c r="I284" i="4"/>
  <c r="H284" i="4"/>
  <c r="C286" i="4"/>
  <c r="E285" i="4"/>
  <c r="D285" i="4"/>
  <c r="B284" i="4"/>
  <c r="K285" i="4" l="1"/>
  <c r="J285" i="4"/>
  <c r="I285" i="4"/>
  <c r="H285" i="4"/>
  <c r="G285" i="4"/>
  <c r="F285" i="4"/>
  <c r="L285" i="4"/>
  <c r="M285" i="4"/>
  <c r="C287" i="4"/>
  <c r="E286" i="4"/>
  <c r="D286" i="4"/>
  <c r="B285" i="4"/>
  <c r="G286" i="4" l="1"/>
  <c r="F286" i="4"/>
  <c r="M286" i="4"/>
  <c r="L286" i="4"/>
  <c r="K286" i="4"/>
  <c r="J286" i="4"/>
  <c r="I286" i="4"/>
  <c r="H286" i="4"/>
  <c r="C288" i="4"/>
  <c r="E287" i="4"/>
  <c r="B286" i="4"/>
  <c r="D287" i="4"/>
  <c r="C289" i="4" l="1"/>
  <c r="E288" i="4"/>
  <c r="K287" i="4"/>
  <c r="J287" i="4"/>
  <c r="I287" i="4"/>
  <c r="H287" i="4"/>
  <c r="G287" i="4"/>
  <c r="F287" i="4"/>
  <c r="M287" i="4"/>
  <c r="L287" i="4"/>
  <c r="B287" i="4"/>
  <c r="D288" i="4"/>
  <c r="G288" i="4" l="1"/>
  <c r="F288" i="4"/>
  <c r="M288" i="4"/>
  <c r="L288" i="4"/>
  <c r="K288" i="4"/>
  <c r="J288" i="4"/>
  <c r="H288" i="4"/>
  <c r="I288" i="4"/>
  <c r="C290" i="4"/>
  <c r="E289" i="4"/>
  <c r="B288" i="4"/>
  <c r="D289" i="4"/>
  <c r="C291" i="4" l="1"/>
  <c r="E290" i="4"/>
  <c r="K289" i="4"/>
  <c r="J289" i="4"/>
  <c r="I289" i="4"/>
  <c r="H289" i="4"/>
  <c r="G289" i="4"/>
  <c r="F289" i="4"/>
  <c r="M289" i="4"/>
  <c r="L289" i="4"/>
  <c r="B289" i="4"/>
  <c r="D290" i="4"/>
  <c r="G290" i="4" l="1"/>
  <c r="F290" i="4"/>
  <c r="M290" i="4"/>
  <c r="L290" i="4"/>
  <c r="K290" i="4"/>
  <c r="J290" i="4"/>
  <c r="I290" i="4"/>
  <c r="H290" i="4"/>
  <c r="C292" i="4"/>
  <c r="E291" i="4"/>
  <c r="D291" i="4"/>
  <c r="B290" i="4"/>
  <c r="C293" i="4" l="1"/>
  <c r="E292" i="4"/>
  <c r="K291" i="4"/>
  <c r="J291" i="4"/>
  <c r="I291" i="4"/>
  <c r="H291" i="4"/>
  <c r="G291" i="4"/>
  <c r="F291" i="4"/>
  <c r="M291" i="4"/>
  <c r="L291" i="4"/>
  <c r="D292" i="4"/>
  <c r="B291" i="4"/>
  <c r="G292" i="4" l="1"/>
  <c r="F292" i="4"/>
  <c r="M292" i="4"/>
  <c r="L292" i="4"/>
  <c r="K292" i="4"/>
  <c r="J292" i="4"/>
  <c r="I292" i="4"/>
  <c r="H292" i="4"/>
  <c r="C294" i="4"/>
  <c r="E293" i="4"/>
  <c r="B292" i="4"/>
  <c r="D293" i="4"/>
  <c r="C295" i="4" l="1"/>
  <c r="E294" i="4"/>
  <c r="K293" i="4"/>
  <c r="J293" i="4"/>
  <c r="I293" i="4"/>
  <c r="H293" i="4"/>
  <c r="G293" i="4"/>
  <c r="F293" i="4"/>
  <c r="L293" i="4"/>
  <c r="M293" i="4"/>
  <c r="D294" i="4"/>
  <c r="B293" i="4"/>
  <c r="G294" i="4" l="1"/>
  <c r="F294" i="4"/>
  <c r="M294" i="4"/>
  <c r="L294" i="4"/>
  <c r="K294" i="4"/>
  <c r="J294" i="4"/>
  <c r="I294" i="4"/>
  <c r="H294" i="4"/>
  <c r="C296" i="4"/>
  <c r="E295" i="4"/>
  <c r="B294" i="4"/>
  <c r="D295" i="4"/>
  <c r="K295" i="4" l="1"/>
  <c r="J295" i="4"/>
  <c r="I295" i="4"/>
  <c r="H295" i="4"/>
  <c r="G295" i="4"/>
  <c r="F295" i="4"/>
  <c r="M295" i="4"/>
  <c r="L295" i="4"/>
  <c r="C297" i="4"/>
  <c r="E296" i="4"/>
  <c r="B295" i="4"/>
  <c r="D296" i="4"/>
  <c r="G296" i="4" l="1"/>
  <c r="F296" i="4"/>
  <c r="M296" i="4"/>
  <c r="L296" i="4"/>
  <c r="K296" i="4"/>
  <c r="J296" i="4"/>
  <c r="H296" i="4"/>
  <c r="I296" i="4"/>
  <c r="C298" i="4"/>
  <c r="E297" i="4"/>
  <c r="D297" i="4"/>
  <c r="B296" i="4"/>
  <c r="C299" i="4" l="1"/>
  <c r="E298" i="4"/>
  <c r="K297" i="4"/>
  <c r="J297" i="4"/>
  <c r="I297" i="4"/>
  <c r="H297" i="4"/>
  <c r="G297" i="4"/>
  <c r="F297" i="4"/>
  <c r="M297" i="4"/>
  <c r="L297" i="4"/>
  <c r="B297" i="4"/>
  <c r="D298" i="4"/>
  <c r="G298" i="4" l="1"/>
  <c r="F298" i="4"/>
  <c r="M298" i="4"/>
  <c r="L298" i="4"/>
  <c r="K298" i="4"/>
  <c r="J298" i="4"/>
  <c r="I298" i="4"/>
  <c r="H298" i="4"/>
  <c r="C300" i="4"/>
  <c r="E299" i="4"/>
  <c r="B298" i="4"/>
  <c r="D299" i="4"/>
  <c r="C301" i="4" l="1"/>
  <c r="E300" i="4"/>
  <c r="K299" i="4"/>
  <c r="J299" i="4"/>
  <c r="I299" i="4"/>
  <c r="H299" i="4"/>
  <c r="G299" i="4"/>
  <c r="F299" i="4"/>
  <c r="M299" i="4"/>
  <c r="L299" i="4"/>
  <c r="D300" i="4"/>
  <c r="B299" i="4"/>
  <c r="G300" i="4" l="1"/>
  <c r="F300" i="4"/>
  <c r="M300" i="4"/>
  <c r="L300" i="4"/>
  <c r="K300" i="4"/>
  <c r="J300" i="4"/>
  <c r="I300" i="4"/>
  <c r="H300" i="4"/>
  <c r="C302" i="4"/>
  <c r="E301" i="4"/>
  <c r="D301" i="4"/>
  <c r="B300" i="4"/>
  <c r="C303" i="4" l="1"/>
  <c r="E302" i="4"/>
  <c r="K301" i="4"/>
  <c r="J301" i="4"/>
  <c r="I301" i="4"/>
  <c r="H301" i="4"/>
  <c r="G301" i="4"/>
  <c r="F301" i="4"/>
  <c r="L301" i="4"/>
  <c r="M301" i="4"/>
  <c r="D302" i="4"/>
  <c r="B301" i="4"/>
  <c r="G302" i="4" l="1"/>
  <c r="F302" i="4"/>
  <c r="M302" i="4"/>
  <c r="L302" i="4"/>
  <c r="K302" i="4"/>
  <c r="J302" i="4"/>
  <c r="I302" i="4"/>
  <c r="H302" i="4"/>
  <c r="C304" i="4"/>
  <c r="E303" i="4"/>
  <c r="B302" i="4"/>
  <c r="D303" i="4"/>
  <c r="K303" i="4" l="1"/>
  <c r="J303" i="4"/>
  <c r="I303" i="4"/>
  <c r="H303" i="4"/>
  <c r="G303" i="4"/>
  <c r="F303" i="4"/>
  <c r="M303" i="4"/>
  <c r="L303" i="4"/>
  <c r="C305" i="4"/>
  <c r="E304" i="4"/>
  <c r="D304" i="4"/>
  <c r="B303" i="4"/>
  <c r="C306" i="4" l="1"/>
  <c r="E305" i="4"/>
  <c r="G304" i="4"/>
  <c r="F304" i="4"/>
  <c r="M304" i="4"/>
  <c r="L304" i="4"/>
  <c r="K304" i="4"/>
  <c r="J304" i="4"/>
  <c r="H304" i="4"/>
  <c r="I304" i="4"/>
  <c r="B304" i="4"/>
  <c r="D305" i="4"/>
  <c r="K305" i="4" l="1"/>
  <c r="J305" i="4"/>
  <c r="I305" i="4"/>
  <c r="H305" i="4"/>
  <c r="G305" i="4"/>
  <c r="F305" i="4"/>
  <c r="L305" i="4"/>
  <c r="M305" i="4"/>
  <c r="C307" i="4"/>
  <c r="E306" i="4"/>
  <c r="D306" i="4"/>
  <c r="B305" i="4"/>
  <c r="G306" i="4" l="1"/>
  <c r="F306" i="4"/>
  <c r="M306" i="4"/>
  <c r="L306" i="4"/>
  <c r="K306" i="4"/>
  <c r="J306" i="4"/>
  <c r="I306" i="4"/>
  <c r="H306" i="4"/>
  <c r="C308" i="4"/>
  <c r="E307" i="4"/>
  <c r="B306" i="4"/>
  <c r="D307" i="4"/>
  <c r="K307" i="4" l="1"/>
  <c r="J307" i="4"/>
  <c r="I307" i="4"/>
  <c r="H307" i="4"/>
  <c r="G307" i="4"/>
  <c r="F307" i="4"/>
  <c r="M307" i="4"/>
  <c r="L307" i="4"/>
  <c r="C309" i="4"/>
  <c r="E308" i="4"/>
  <c r="D308" i="4"/>
  <c r="B307" i="4"/>
  <c r="C310" i="4" l="1"/>
  <c r="E309" i="4"/>
  <c r="G308" i="4"/>
  <c r="F308" i="4"/>
  <c r="M308" i="4"/>
  <c r="L308" i="4"/>
  <c r="K308" i="4"/>
  <c r="J308" i="4"/>
  <c r="H308" i="4"/>
  <c r="I308" i="4"/>
  <c r="B308" i="4"/>
  <c r="D309" i="4"/>
  <c r="K309" i="4" l="1"/>
  <c r="J309" i="4"/>
  <c r="I309" i="4"/>
  <c r="H309" i="4"/>
  <c r="G309" i="4"/>
  <c r="F309" i="4"/>
  <c r="L309" i="4"/>
  <c r="M309" i="4"/>
  <c r="C311" i="4"/>
  <c r="E310" i="4"/>
  <c r="D310" i="4"/>
  <c r="B309" i="4"/>
  <c r="C312" i="4" l="1"/>
  <c r="E311" i="4"/>
  <c r="G310" i="4"/>
  <c r="F310" i="4"/>
  <c r="M310" i="4"/>
  <c r="L310" i="4"/>
  <c r="K310" i="4"/>
  <c r="J310" i="4"/>
  <c r="I310" i="4"/>
  <c r="H310" i="4"/>
  <c r="D311" i="4"/>
  <c r="B310" i="4"/>
  <c r="K311" i="4" l="1"/>
  <c r="J311" i="4"/>
  <c r="I311" i="4"/>
  <c r="H311" i="4"/>
  <c r="G311" i="4"/>
  <c r="F311" i="4"/>
  <c r="M311" i="4"/>
  <c r="L311" i="4"/>
  <c r="C313" i="4"/>
  <c r="E312" i="4"/>
  <c r="D312" i="4"/>
  <c r="B311" i="4"/>
  <c r="G312" i="4" l="1"/>
  <c r="F312" i="4"/>
  <c r="M312" i="4"/>
  <c r="L312" i="4"/>
  <c r="K312" i="4"/>
  <c r="J312" i="4"/>
  <c r="H312" i="4"/>
  <c r="I312" i="4"/>
  <c r="C314" i="4"/>
  <c r="E313" i="4"/>
  <c r="B312" i="4"/>
  <c r="D313" i="4"/>
  <c r="E314" i="4" l="1"/>
  <c r="K313" i="4"/>
  <c r="J313" i="4"/>
  <c r="I313" i="4"/>
  <c r="H313" i="4"/>
  <c r="G313" i="4"/>
  <c r="F313" i="4"/>
  <c r="L313" i="4"/>
  <c r="M313" i="4"/>
  <c r="B313" i="4"/>
  <c r="D314" i="4"/>
  <c r="G314" i="4" l="1"/>
  <c r="F314" i="4"/>
  <c r="M314" i="4"/>
  <c r="L314" i="4"/>
  <c r="K314" i="4"/>
  <c r="J314" i="4"/>
  <c r="H314" i="4"/>
  <c r="I314" i="4"/>
  <c r="B314" i="4"/>
  <c r="L421" i="56" l="1"/>
  <c r="K421" i="56"/>
  <c r="J421" i="56"/>
  <c r="I421" i="56"/>
  <c r="G431" i="56"/>
  <c r="G90" i="55" s="1"/>
  <c r="M421" i="56"/>
  <c r="H421" i="56"/>
  <c r="H431" i="56"/>
  <c r="H90" i="55" s="1"/>
  <c r="L411" i="56"/>
  <c r="L68" i="55" s="1"/>
  <c r="K411" i="56"/>
  <c r="K68" i="55" s="1"/>
  <c r="J411" i="56"/>
  <c r="J68" i="55" s="1"/>
  <c r="M431" i="56"/>
  <c r="M90" i="55" s="1"/>
  <c r="I411" i="56"/>
  <c r="I68" i="55" s="1"/>
  <c r="H411" i="56"/>
  <c r="H68" i="55" s="1"/>
  <c r="L431" i="56"/>
  <c r="L90" i="55" s="1"/>
  <c r="J431" i="56"/>
  <c r="J90" i="55" s="1"/>
  <c r="K431" i="56"/>
  <c r="K90" i="55" s="1"/>
  <c r="I431" i="56"/>
  <c r="I90" i="55" s="1"/>
  <c r="M411" i="56"/>
  <c r="M68" i="55" s="1"/>
  <c r="M79" i="55" l="1"/>
  <c r="I79" i="55"/>
  <c r="J79" i="55"/>
  <c r="H79" i="55"/>
  <c r="K79" i="55"/>
  <c r="L79" i="55"/>
  <c r="G257" i="4" l="1"/>
  <c r="H257" i="4"/>
  <c r="I257" i="4"/>
  <c r="J257" i="4"/>
  <c r="K257" i="4"/>
  <c r="L257" i="4"/>
  <c r="M257" i="4"/>
  <c r="G258" i="4"/>
  <c r="H258" i="4"/>
  <c r="I258" i="4"/>
  <c r="J258" i="4"/>
  <c r="K258" i="4"/>
  <c r="L258" i="4"/>
  <c r="M258" i="4"/>
  <c r="G259" i="4"/>
  <c r="H259" i="4"/>
  <c r="I259" i="4"/>
  <c r="J259" i="4"/>
  <c r="K259" i="4"/>
  <c r="L259" i="4"/>
  <c r="M259" i="4"/>
  <c r="D232" i="28" l="1"/>
  <c r="E232" i="28"/>
  <c r="F232" i="28"/>
  <c r="G232" i="28"/>
  <c r="H232" i="28"/>
  <c r="I232" i="28"/>
  <c r="J232" i="28"/>
  <c r="D233" i="28"/>
  <c r="E233" i="28"/>
  <c r="F233" i="28"/>
  <c r="G233" i="28"/>
  <c r="H233" i="28"/>
  <c r="I233" i="28"/>
  <c r="J233" i="28"/>
  <c r="D235" i="28" l="1"/>
  <c r="E235" i="28"/>
  <c r="F235" i="28"/>
  <c r="G235" i="28"/>
  <c r="H235" i="28"/>
  <c r="I235" i="28"/>
  <c r="J235" i="28"/>
  <c r="C110" i="27"/>
  <c r="D110" i="27"/>
  <c r="E110" i="27"/>
  <c r="F110" i="27"/>
  <c r="G110" i="27"/>
  <c r="H110" i="27"/>
  <c r="I110" i="27"/>
  <c r="G233" i="4" l="1"/>
  <c r="H233" i="4"/>
  <c r="I233" i="4"/>
  <c r="J233" i="4"/>
  <c r="K233" i="4"/>
  <c r="L233" i="4"/>
  <c r="M233" i="4"/>
  <c r="G234" i="4"/>
  <c r="H234" i="4"/>
  <c r="I234" i="4"/>
  <c r="J234" i="4"/>
  <c r="K234" i="4"/>
  <c r="L234" i="4"/>
  <c r="M234" i="4"/>
  <c r="G242" i="4"/>
  <c r="H242" i="4"/>
  <c r="I242" i="4"/>
  <c r="J242" i="4"/>
  <c r="K242" i="4"/>
  <c r="L242" i="4"/>
  <c r="M242" i="4"/>
  <c r="G243" i="4"/>
  <c r="H243" i="4"/>
  <c r="I243" i="4"/>
  <c r="J243" i="4"/>
  <c r="K243" i="4"/>
  <c r="L243" i="4"/>
  <c r="M243" i="4"/>
  <c r="G244" i="4"/>
  <c r="H244" i="4"/>
  <c r="I244" i="4"/>
  <c r="J244" i="4"/>
  <c r="K244" i="4"/>
  <c r="L244" i="4"/>
  <c r="M244"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51" i="4"/>
  <c r="H251" i="4"/>
  <c r="I251" i="4"/>
  <c r="J251" i="4"/>
  <c r="K251" i="4"/>
  <c r="L251" i="4"/>
  <c r="M251" i="4"/>
  <c r="G252" i="4"/>
  <c r="H252" i="4"/>
  <c r="I252" i="4"/>
  <c r="J252" i="4"/>
  <c r="K252" i="4"/>
  <c r="L252" i="4"/>
  <c r="M252" i="4"/>
  <c r="G253" i="4"/>
  <c r="H253" i="4"/>
  <c r="I253" i="4"/>
  <c r="J253" i="4"/>
  <c r="K253" i="4"/>
  <c r="L253" i="4"/>
  <c r="M253" i="4"/>
  <c r="G254" i="4"/>
  <c r="H254" i="4"/>
  <c r="I254" i="4"/>
  <c r="J254" i="4"/>
  <c r="K254" i="4"/>
  <c r="L254" i="4"/>
  <c r="M254" i="4"/>
  <c r="G255" i="4"/>
  <c r="H255" i="4"/>
  <c r="I255" i="4"/>
  <c r="J255" i="4"/>
  <c r="K255" i="4"/>
  <c r="L255" i="4"/>
  <c r="M255" i="4"/>
  <c r="G256" i="4"/>
  <c r="H256" i="4"/>
  <c r="I256" i="4"/>
  <c r="J256" i="4"/>
  <c r="K256" i="4"/>
  <c r="L256" i="4"/>
  <c r="M256" i="4"/>
  <c r="G228" i="4"/>
  <c r="H228" i="4"/>
  <c r="I228" i="4"/>
  <c r="J228" i="4"/>
  <c r="K228" i="4"/>
  <c r="L228" i="4"/>
  <c r="M228"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5" i="4"/>
  <c r="H235" i="4"/>
  <c r="I235" i="4"/>
  <c r="J235" i="4"/>
  <c r="K235" i="4"/>
  <c r="L235" i="4"/>
  <c r="M235"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20" i="4"/>
  <c r="H220" i="4"/>
  <c r="I220" i="4"/>
  <c r="J220" i="4"/>
  <c r="K220" i="4"/>
  <c r="L220" i="4"/>
  <c r="M220" i="4"/>
  <c r="G221" i="4"/>
  <c r="H221" i="4"/>
  <c r="I221" i="4"/>
  <c r="J221" i="4"/>
  <c r="K221" i="4"/>
  <c r="L221" i="4"/>
  <c r="M221" i="4"/>
  <c r="G219" i="4"/>
  <c r="H219" i="4"/>
  <c r="I219" i="4"/>
  <c r="J219" i="4"/>
  <c r="K219" i="4"/>
  <c r="L219" i="4"/>
  <c r="M219"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7" i="4"/>
  <c r="H227" i="4"/>
  <c r="I227" i="4"/>
  <c r="J227" i="4"/>
  <c r="K227" i="4"/>
  <c r="L227" i="4"/>
  <c r="M227" i="4"/>
  <c r="C85" i="27"/>
  <c r="D85" i="27"/>
  <c r="E85" i="27"/>
  <c r="F85" i="27"/>
  <c r="G85" i="27"/>
  <c r="H85" i="27"/>
  <c r="I85" i="27"/>
  <c r="C86" i="27"/>
  <c r="D86" i="27"/>
  <c r="E86" i="27"/>
  <c r="F86" i="27"/>
  <c r="G86" i="27"/>
  <c r="H86" i="27"/>
  <c r="I86" i="27"/>
  <c r="N409" i="56" l="1"/>
  <c r="G422" i="3" l="1"/>
  <c r="H422" i="3"/>
  <c r="I422" i="3"/>
  <c r="J422" i="3"/>
  <c r="K422" i="3"/>
  <c r="L422" i="3"/>
  <c r="M422" i="3"/>
  <c r="G288" i="3" l="1"/>
  <c r="H288" i="3"/>
  <c r="I288" i="3"/>
  <c r="J288" i="3"/>
  <c r="K288" i="3"/>
  <c r="L288" i="3"/>
  <c r="M288" i="3"/>
  <c r="G126" i="55" l="1"/>
  <c r="G127" i="55"/>
  <c r="H126" i="55"/>
  <c r="I126" i="55"/>
  <c r="J126" i="55"/>
  <c r="K126" i="55"/>
  <c r="L126" i="55"/>
  <c r="M126" i="55"/>
  <c r="H127" i="55"/>
  <c r="I127" i="55"/>
  <c r="J127" i="55"/>
  <c r="K127" i="55"/>
  <c r="L127" i="55"/>
  <c r="M127" i="55"/>
  <c r="D225" i="28" l="1"/>
  <c r="E225" i="28"/>
  <c r="F225" i="28"/>
  <c r="G225" i="28"/>
  <c r="H225" i="28"/>
  <c r="I225" i="28"/>
  <c r="J225" i="28"/>
  <c r="C102" i="27"/>
  <c r="D102" i="27"/>
  <c r="E102" i="27"/>
  <c r="F102" i="27"/>
  <c r="G102" i="27"/>
  <c r="H102" i="27"/>
  <c r="I102" i="27"/>
  <c r="I106" i="27" l="1"/>
  <c r="J229" i="28"/>
  <c r="H106" i="27"/>
  <c r="I229" i="28"/>
  <c r="G106" i="27"/>
  <c r="H229" i="28"/>
  <c r="F106" i="27"/>
  <c r="G229" i="28"/>
  <c r="F229" i="28"/>
  <c r="E106" i="27"/>
  <c r="E229" i="28"/>
  <c r="D106" i="27"/>
  <c r="D229" i="28"/>
  <c r="C106" i="27"/>
  <c r="D230" i="28" l="1"/>
  <c r="E230" i="28"/>
  <c r="F230" i="28"/>
  <c r="G230" i="28"/>
  <c r="H230" i="28"/>
  <c r="I230" i="28"/>
  <c r="J230" i="28"/>
  <c r="C107" i="27"/>
  <c r="D107" i="27"/>
  <c r="E107" i="27"/>
  <c r="F107" i="27"/>
  <c r="G107" i="27"/>
  <c r="H107" i="27"/>
  <c r="I107" i="27"/>
  <c r="D231" i="28" l="1"/>
  <c r="E231" i="28"/>
  <c r="F231" i="28"/>
  <c r="G231" i="28"/>
  <c r="H231" i="28"/>
  <c r="I231" i="28"/>
  <c r="J231" i="28"/>
  <c r="C108" i="27"/>
  <c r="D108" i="27"/>
  <c r="E108" i="27"/>
  <c r="F108" i="27"/>
  <c r="G108" i="27"/>
  <c r="H108" i="27"/>
  <c r="I108" i="27"/>
  <c r="G217" i="4"/>
  <c r="H217" i="4"/>
  <c r="I217" i="4"/>
  <c r="J217" i="4"/>
  <c r="K217" i="4"/>
  <c r="L217" i="4"/>
  <c r="M217" i="4"/>
  <c r="G218" i="4"/>
  <c r="H218" i="4"/>
  <c r="I218" i="4"/>
  <c r="J218" i="4"/>
  <c r="K218" i="4"/>
  <c r="L218" i="4"/>
  <c r="M218" i="4"/>
  <c r="G216" i="4"/>
  <c r="H216" i="4"/>
  <c r="I216" i="4"/>
  <c r="J216" i="4"/>
  <c r="K216" i="4"/>
  <c r="L216" i="4"/>
  <c r="M216" i="4"/>
  <c r="G213" i="4"/>
  <c r="H213" i="4"/>
  <c r="I213" i="4"/>
  <c r="J213" i="4"/>
  <c r="K213" i="4"/>
  <c r="L213" i="4"/>
  <c r="M213" i="4"/>
  <c r="G214" i="4"/>
  <c r="H214" i="4"/>
  <c r="I214" i="4"/>
  <c r="J214" i="4"/>
  <c r="K214" i="4"/>
  <c r="L214" i="4"/>
  <c r="M214" i="4"/>
  <c r="G215" i="4"/>
  <c r="H215" i="4"/>
  <c r="I215" i="4"/>
  <c r="J215" i="4"/>
  <c r="K215" i="4"/>
  <c r="L215" i="4"/>
  <c r="M215" i="4"/>
  <c r="G278" i="3"/>
  <c r="H278" i="3"/>
  <c r="I278" i="3"/>
  <c r="J278" i="3"/>
  <c r="K278" i="3"/>
  <c r="L278" i="3"/>
  <c r="M278" i="3"/>
  <c r="M205" i="4"/>
  <c r="H205" i="4"/>
  <c r="L205" i="4"/>
  <c r="G205" i="4"/>
  <c r="J205" i="4"/>
  <c r="K205" i="4"/>
  <c r="I205" i="4"/>
  <c r="G14" i="56" l="1"/>
  <c r="G15" i="56" s="1"/>
  <c r="G283" i="56" s="1"/>
  <c r="G288" i="56" s="1" a="1"/>
  <c r="G288" i="56" s="1"/>
  <c r="G373" i="57" s="1"/>
  <c r="H14" i="56"/>
  <c r="I14" i="56"/>
  <c r="J14" i="56"/>
  <c r="J108" i="25" s="1"/>
  <c r="K14" i="56"/>
  <c r="K15" i="56" s="1"/>
  <c r="K298" i="56" s="1"/>
  <c r="L14" i="56"/>
  <c r="L108" i="25" s="1"/>
  <c r="M14" i="56"/>
  <c r="M108" i="25" s="1"/>
  <c r="H15" i="56"/>
  <c r="H327" i="56" s="1"/>
  <c r="I15" i="56"/>
  <c r="I109" i="25" s="1"/>
  <c r="J15" i="56"/>
  <c r="J327" i="56" s="1"/>
  <c r="H29" i="56"/>
  <c r="I29" i="56"/>
  <c r="J29" i="56"/>
  <c r="K29" i="56"/>
  <c r="L29" i="56"/>
  <c r="M29" i="56"/>
  <c r="G30" i="56"/>
  <c r="H30" i="56"/>
  <c r="I30" i="56"/>
  <c r="J30" i="56"/>
  <c r="K30" i="56"/>
  <c r="L30" i="56"/>
  <c r="M30" i="56"/>
  <c r="H298" i="56"/>
  <c r="J305" i="56"/>
  <c r="J306" i="56" s="1"/>
  <c r="J391" i="57" s="1"/>
  <c r="K305" i="56"/>
  <c r="K306" i="56" s="1"/>
  <c r="K391" i="57" s="1"/>
  <c r="H312" i="56"/>
  <c r="H314" i="56" s="1" a="1"/>
  <c r="H314" i="56" s="1"/>
  <c r="H399" i="57" s="1"/>
  <c r="I312" i="56"/>
  <c r="I314" i="56" s="1" a="1"/>
  <c r="I314" i="56" s="1"/>
  <c r="I399" i="57" s="1"/>
  <c r="J312" i="56"/>
  <c r="J314" i="56" s="1" a="1"/>
  <c r="J314" i="56" s="1"/>
  <c r="J399" i="57" s="1"/>
  <c r="K312" i="56"/>
  <c r="K313" i="56" s="1"/>
  <c r="K398" i="57" s="1"/>
  <c r="I327" i="56"/>
  <c r="G528" i="56"/>
  <c r="H528" i="56"/>
  <c r="I528" i="56"/>
  <c r="J528" i="56"/>
  <c r="K528" i="56"/>
  <c r="L528" i="56"/>
  <c r="M528" i="56"/>
  <c r="G529" i="56"/>
  <c r="H529" i="56"/>
  <c r="I529" i="56"/>
  <c r="J529" i="56"/>
  <c r="K529" i="56"/>
  <c r="L529" i="56"/>
  <c r="M529" i="56"/>
  <c r="H108" i="25"/>
  <c r="I108" i="25"/>
  <c r="K109" i="25"/>
  <c r="H139" i="4"/>
  <c r="I139" i="4"/>
  <c r="J139" i="4"/>
  <c r="K139" i="4"/>
  <c r="L139" i="4"/>
  <c r="M139" i="4"/>
  <c r="I110" i="25" l="1"/>
  <c r="G93" i="56"/>
  <c r="G94" i="56" s="1"/>
  <c r="G95" i="56" s="1"/>
  <c r="G109" i="25"/>
  <c r="G96" i="56"/>
  <c r="G370" i="56"/>
  <c r="G373" i="56" s="1" a="1"/>
  <c r="G373" i="56" s="1"/>
  <c r="G461" i="57" s="1"/>
  <c r="G327" i="56"/>
  <c r="G312" i="56"/>
  <c r="G315" i="56" s="1" a="1"/>
  <c r="G315" i="56" s="1"/>
  <c r="G400" i="57" s="1"/>
  <c r="G108" i="25"/>
  <c r="G110" i="25" s="1"/>
  <c r="G29" i="56"/>
  <c r="G305" i="56"/>
  <c r="M15" i="56"/>
  <c r="M327" i="56" s="1"/>
  <c r="J298" i="56"/>
  <c r="L15" i="56"/>
  <c r="L283" i="56" s="1"/>
  <c r="L288" i="56" s="1" a="1"/>
  <c r="L288" i="56" s="1"/>
  <c r="L373" i="57" s="1"/>
  <c r="G139" i="4"/>
  <c r="I305" i="56"/>
  <c r="I306" i="56" s="1"/>
  <c r="I391" i="57" s="1"/>
  <c r="H305" i="56"/>
  <c r="H306" i="56" s="1"/>
  <c r="H391" i="57" s="1"/>
  <c r="I298" i="56"/>
  <c r="I302" i="56" s="1" a="1"/>
  <c r="I302" i="56" s="1"/>
  <c r="I387" i="57" s="1"/>
  <c r="G298" i="56"/>
  <c r="G302" i="56" s="1" a="1"/>
  <c r="G302" i="56" s="1"/>
  <c r="G387" i="57" s="1"/>
  <c r="G291" i="56"/>
  <c r="K291" i="56"/>
  <c r="J109" i="25"/>
  <c r="L370" i="56"/>
  <c r="L374" i="56" s="1" a="1"/>
  <c r="L374" i="56" s="1"/>
  <c r="L462" i="57" s="1"/>
  <c r="M370" i="56"/>
  <c r="M372" i="56" s="1" a="1"/>
  <c r="M372" i="56" s="1"/>
  <c r="M460" i="57" s="1"/>
  <c r="H109" i="25"/>
  <c r="H110" i="25" s="1"/>
  <c r="K108" i="25"/>
  <c r="K110" i="25" s="1"/>
  <c r="K370" i="56"/>
  <c r="K373" i="56" s="1" a="1"/>
  <c r="K373" i="56" s="1"/>
  <c r="K461" i="57" s="1"/>
  <c r="H370" i="56"/>
  <c r="H373" i="56" s="1" a="1"/>
  <c r="H373" i="56" s="1"/>
  <c r="H461" i="57" s="1"/>
  <c r="L327" i="56"/>
  <c r="K327" i="56"/>
  <c r="M291" i="56"/>
  <c r="L291" i="56"/>
  <c r="L295" i="56" s="1" a="1"/>
  <c r="L295" i="56" s="1"/>
  <c r="L380" i="57" s="1"/>
  <c r="J308" i="56" a="1"/>
  <c r="J308" i="56" s="1"/>
  <c r="J393" i="57" s="1"/>
  <c r="H291" i="56"/>
  <c r="H294" i="56" s="1" a="1"/>
  <c r="H294" i="56" s="1"/>
  <c r="H379" i="57" s="1"/>
  <c r="K283" i="56"/>
  <c r="K288" i="56" s="1" a="1"/>
  <c r="K288" i="56" s="1"/>
  <c r="K373" i="57" s="1"/>
  <c r="K299" i="56"/>
  <c r="K384" i="57" s="1"/>
  <c r="K300" i="56" a="1"/>
  <c r="K300" i="56" s="1"/>
  <c r="K385" i="57" s="1"/>
  <c r="K301" i="56" a="1"/>
  <c r="K301" i="56" s="1"/>
  <c r="K386" i="57" s="1"/>
  <c r="K302" i="56" a="1"/>
  <c r="K302" i="56" s="1"/>
  <c r="K387" i="57" s="1"/>
  <c r="M96" i="56"/>
  <c r="G316" i="56" a="1"/>
  <c r="G316" i="56" s="1"/>
  <c r="G401" i="57" s="1"/>
  <c r="G314" i="56" a="1"/>
  <c r="G314" i="56" s="1"/>
  <c r="G399" i="57" s="1"/>
  <c r="M298" i="56"/>
  <c r="M299" i="56" s="1"/>
  <c r="M384" i="57" s="1"/>
  <c r="L96" i="56"/>
  <c r="I300" i="56" a="1"/>
  <c r="I300" i="56" s="1"/>
  <c r="I385" i="57" s="1"/>
  <c r="I313" i="56"/>
  <c r="I398" i="57" s="1"/>
  <c r="L298" i="56"/>
  <c r="L302" i="56" s="1" a="1"/>
  <c r="L302" i="56" s="1"/>
  <c r="L387" i="57" s="1"/>
  <c r="K96" i="56"/>
  <c r="I315" i="56" a="1"/>
  <c r="I315" i="56" s="1"/>
  <c r="I400" i="57" s="1"/>
  <c r="J299" i="56"/>
  <c r="J384" i="57" s="1"/>
  <c r="J300" i="56" a="1"/>
  <c r="J300" i="56" s="1"/>
  <c r="J385" i="57" s="1"/>
  <c r="J302" i="56" a="1"/>
  <c r="J302" i="56" s="1"/>
  <c r="J387" i="57" s="1"/>
  <c r="H299" i="56"/>
  <c r="H384" i="57" s="1"/>
  <c r="H302" i="56" a="1"/>
  <c r="H302" i="56" s="1"/>
  <c r="H387" i="57" s="1"/>
  <c r="H301" i="56" a="1"/>
  <c r="H301" i="56" s="1"/>
  <c r="H386" i="57" s="1"/>
  <c r="H300" i="56" a="1"/>
  <c r="H300" i="56" s="1"/>
  <c r="H385" i="57" s="1"/>
  <c r="J313" i="56"/>
  <c r="J398" i="57" s="1"/>
  <c r="J110" i="25"/>
  <c r="K314" i="56" a="1"/>
  <c r="K314" i="56" s="1"/>
  <c r="K399" i="57" s="1"/>
  <c r="K315" i="56" a="1"/>
  <c r="K315" i="56" s="1"/>
  <c r="K400" i="57" s="1"/>
  <c r="K316" i="56" a="1"/>
  <c r="K316" i="56" s="1"/>
  <c r="K401" i="57" s="1"/>
  <c r="H315" i="56" a="1"/>
  <c r="H315" i="56" s="1"/>
  <c r="H400" i="57" s="1"/>
  <c r="H313" i="56"/>
  <c r="H398" i="57" s="1"/>
  <c r="H316" i="56" a="1"/>
  <c r="H316" i="56" s="1"/>
  <c r="H401" i="57" s="1"/>
  <c r="J316" i="56" a="1"/>
  <c r="J316" i="56" s="1"/>
  <c r="J401" i="57" s="1"/>
  <c r="I316" i="56" a="1"/>
  <c r="I316" i="56" s="1"/>
  <c r="I401" i="57" s="1"/>
  <c r="J301" i="56" a="1"/>
  <c r="J301" i="56" s="1"/>
  <c r="J386" i="57" s="1"/>
  <c r="J315" i="56" a="1"/>
  <c r="J315" i="56" s="1"/>
  <c r="J400" i="57" s="1"/>
  <c r="K308" i="56" a="1"/>
  <c r="K308" i="56" s="1"/>
  <c r="K393" i="57" s="1"/>
  <c r="J93" i="56"/>
  <c r="J94" i="56" s="1"/>
  <c r="J95" i="56" s="1"/>
  <c r="J291" i="56"/>
  <c r="J370" i="56"/>
  <c r="J96" i="56"/>
  <c r="J283" i="56"/>
  <c r="J288" i="56" s="1" a="1"/>
  <c r="J288" i="56" s="1"/>
  <c r="J373" i="57" s="1"/>
  <c r="I291" i="56"/>
  <c r="I370" i="56"/>
  <c r="I96" i="56"/>
  <c r="I283" i="56"/>
  <c r="I288" i="56" s="1" a="1"/>
  <c r="I288" i="56" s="1"/>
  <c r="I373" i="57" s="1"/>
  <c r="I93" i="56"/>
  <c r="I94" i="56" s="1"/>
  <c r="I95" i="56" s="1"/>
  <c r="H96" i="56"/>
  <c r="H283" i="56"/>
  <c r="H288" i="56" s="1" a="1"/>
  <c r="H288" i="56" s="1"/>
  <c r="H373" i="57" s="1"/>
  <c r="H93" i="56"/>
  <c r="H94" i="56" s="1"/>
  <c r="H95" i="56" s="1"/>
  <c r="K309" i="56" a="1"/>
  <c r="K309" i="56" s="1"/>
  <c r="K394" i="57" s="1"/>
  <c r="K307" i="56" a="1"/>
  <c r="K307" i="56" s="1"/>
  <c r="K392" i="57" s="1"/>
  <c r="J309" i="56" a="1"/>
  <c r="J309" i="56" s="1"/>
  <c r="J394" i="57" s="1"/>
  <c r="J307" i="56" a="1"/>
  <c r="J307" i="56" s="1"/>
  <c r="J392" i="57" s="1"/>
  <c r="K93" i="56"/>
  <c r="K94" i="56" s="1"/>
  <c r="K95" i="56" s="1"/>
  <c r="M305" i="56" l="1"/>
  <c r="M307" i="56" s="1" a="1"/>
  <c r="M307" i="56" s="1"/>
  <c r="M392" i="57" s="1"/>
  <c r="M374" i="56" a="1"/>
  <c r="M374" i="56" s="1"/>
  <c r="M462" i="57" s="1"/>
  <c r="I301" i="56" a="1"/>
  <c r="I301" i="56" s="1"/>
  <c r="I386" i="57" s="1"/>
  <c r="M283" i="56"/>
  <c r="M288" i="56" s="1" a="1"/>
  <c r="M288" i="56" s="1"/>
  <c r="M373" i="57" s="1"/>
  <c r="I299" i="56"/>
  <c r="I384" i="57" s="1"/>
  <c r="H307" i="56" a="1"/>
  <c r="H307" i="56" s="1"/>
  <c r="H392" i="57" s="1"/>
  <c r="G299" i="56"/>
  <c r="G384" i="57" s="1"/>
  <c r="L109" i="25"/>
  <c r="L110" i="25" s="1"/>
  <c r="L93" i="56"/>
  <c r="L94" i="56" s="1"/>
  <c r="L95" i="56" s="1"/>
  <c r="L305" i="56"/>
  <c r="L312" i="56"/>
  <c r="G292" i="56"/>
  <c r="G377" i="57" s="1"/>
  <c r="G293" i="56" a="1"/>
  <c r="G293" i="56" s="1"/>
  <c r="G378" i="57" s="1"/>
  <c r="G294" i="56" a="1"/>
  <c r="G294" i="56" s="1"/>
  <c r="G379" i="57" s="1"/>
  <c r="G295" i="56" a="1"/>
  <c r="G295" i="56" s="1"/>
  <c r="G380" i="57" s="1"/>
  <c r="K388" i="57"/>
  <c r="L372" i="56" a="1"/>
  <c r="L372" i="56" s="1"/>
  <c r="L460" i="57" s="1"/>
  <c r="M109" i="25"/>
  <c r="M110" i="25" s="1"/>
  <c r="M312" i="56"/>
  <c r="M93" i="56"/>
  <c r="M94" i="56" s="1"/>
  <c r="M95" i="56" s="1"/>
  <c r="I309" i="56" a="1"/>
  <c r="I309" i="56" s="1"/>
  <c r="I394" i="57" s="1"/>
  <c r="G307" i="56" a="1"/>
  <c r="G307" i="56" s="1"/>
  <c r="G392" i="57" s="1"/>
  <c r="G306" i="56"/>
  <c r="G391" i="57" s="1"/>
  <c r="G301" i="56" a="1"/>
  <c r="G301" i="56" s="1"/>
  <c r="G386" i="57" s="1"/>
  <c r="H308" i="56" a="1"/>
  <c r="H308" i="56" s="1"/>
  <c r="H393" i="57" s="1"/>
  <c r="G300" i="56" a="1"/>
  <c r="G300" i="56" s="1"/>
  <c r="G385" i="57" s="1"/>
  <c r="L299" i="56"/>
  <c r="L384" i="57" s="1"/>
  <c r="G309" i="56" a="1"/>
  <c r="G309" i="56" s="1"/>
  <c r="G394" i="57" s="1"/>
  <c r="G374" i="56" a="1"/>
  <c r="G374" i="56" s="1"/>
  <c r="G462" i="57" s="1"/>
  <c r="G371" i="56"/>
  <c r="G459" i="57" s="1"/>
  <c r="G372" i="56" a="1"/>
  <c r="G372" i="56" s="1"/>
  <c r="G460" i="57" s="1"/>
  <c r="L293" i="56" a="1"/>
  <c r="L293" i="56" s="1"/>
  <c r="L378" i="57" s="1"/>
  <c r="L292" i="56"/>
  <c r="L377" i="57" s="1"/>
  <c r="H309" i="56" a="1"/>
  <c r="H309" i="56" s="1"/>
  <c r="H394" i="57" s="1"/>
  <c r="G313" i="56"/>
  <c r="G398" i="57" s="1"/>
  <c r="G402" i="57" s="1"/>
  <c r="L294" i="56" a="1"/>
  <c r="L294" i="56" s="1"/>
  <c r="L379" i="57" s="1"/>
  <c r="L300" i="56" a="1"/>
  <c r="L300" i="56" s="1"/>
  <c r="L385" i="57" s="1"/>
  <c r="I308" i="56" a="1"/>
  <c r="I308" i="56" s="1"/>
  <c r="I393" i="57" s="1"/>
  <c r="I307" i="56" a="1"/>
  <c r="I307" i="56" s="1"/>
  <c r="I392" i="57" s="1"/>
  <c r="G308" i="56" a="1"/>
  <c r="G308" i="56" s="1"/>
  <c r="G393" i="57" s="1"/>
  <c r="K374" i="56" a="1"/>
  <c r="K374" i="56" s="1"/>
  <c r="K462" i="57" s="1"/>
  <c r="K371" i="56"/>
  <c r="K459" i="57" s="1"/>
  <c r="K372" i="56" a="1"/>
  <c r="K372" i="56" s="1"/>
  <c r="K460" i="57" s="1"/>
  <c r="M306" i="56"/>
  <c r="M391" i="57" s="1"/>
  <c r="M308" i="56" a="1"/>
  <c r="M308" i="56" s="1"/>
  <c r="M393" i="57" s="1"/>
  <c r="M309" i="56" a="1"/>
  <c r="M309" i="56" s="1"/>
  <c r="M394" i="57" s="1"/>
  <c r="M373" i="56" a="1"/>
  <c r="M373" i="56" s="1"/>
  <c r="M461" i="57" s="1"/>
  <c r="M371" i="56"/>
  <c r="M459" i="57" s="1"/>
  <c r="H374" i="56" a="1"/>
  <c r="H374" i="56" s="1"/>
  <c r="H462" i="57" s="1"/>
  <c r="H371" i="56"/>
  <c r="H459" i="57" s="1"/>
  <c r="H372" i="56" a="1"/>
  <c r="H372" i="56" s="1"/>
  <c r="H460" i="57" s="1"/>
  <c r="L373" i="56" a="1"/>
  <c r="L373" i="56" s="1"/>
  <c r="L461" i="57" s="1"/>
  <c r="L371" i="56"/>
  <c r="L459" i="57" s="1"/>
  <c r="M300" i="56" a="1"/>
  <c r="M300" i="56" s="1"/>
  <c r="M385" i="57" s="1"/>
  <c r="M463" i="57"/>
  <c r="K292" i="56"/>
  <c r="K377" i="57" s="1"/>
  <c r="K295" i="56" a="1"/>
  <c r="K295" i="56" s="1"/>
  <c r="K380" i="57" s="1"/>
  <c r="K293" i="56" a="1"/>
  <c r="K293" i="56" s="1"/>
  <c r="K378" i="57" s="1"/>
  <c r="K294" i="56" a="1"/>
  <c r="K294" i="56" s="1"/>
  <c r="K379" i="57" s="1"/>
  <c r="M301" i="56" a="1"/>
  <c r="M301" i="56" s="1"/>
  <c r="M386" i="57" s="1"/>
  <c r="M302" i="56" a="1"/>
  <c r="M302" i="56" s="1"/>
  <c r="M387" i="57" s="1"/>
  <c r="H293" i="56" a="1"/>
  <c r="H293" i="56" s="1"/>
  <c r="H378" i="57" s="1"/>
  <c r="H295" i="56" a="1"/>
  <c r="H295" i="56" s="1"/>
  <c r="H380" i="57" s="1"/>
  <c r="L463" i="57"/>
  <c r="H292" i="56"/>
  <c r="H377" i="57" s="1"/>
  <c r="I402" i="57"/>
  <c r="M294" i="56" a="1"/>
  <c r="M294" i="56" s="1"/>
  <c r="M379" i="57" s="1"/>
  <c r="M292" i="56"/>
  <c r="M377" i="57" s="1"/>
  <c r="M295" i="56" a="1"/>
  <c r="M295" i="56" s="1"/>
  <c r="M380" i="57" s="1"/>
  <c r="M293" i="56" a="1"/>
  <c r="M293" i="56" s="1"/>
  <c r="M378" i="57" s="1"/>
  <c r="L301" i="56" a="1"/>
  <c r="L301" i="56" s="1"/>
  <c r="L386" i="57" s="1"/>
  <c r="H402" i="57"/>
  <c r="H388" i="57"/>
  <c r="I373" i="56" a="1"/>
  <c r="I373" i="56" s="1"/>
  <c r="I461" i="57" s="1"/>
  <c r="I374" i="56" a="1"/>
  <c r="I374" i="56" s="1"/>
  <c r="I462" i="57" s="1"/>
  <c r="I371" i="56"/>
  <c r="I459" i="57" s="1"/>
  <c r="I372" i="56" a="1"/>
  <c r="I372" i="56" s="1"/>
  <c r="I460" i="57" s="1"/>
  <c r="I294" i="56" a="1"/>
  <c r="I294" i="56" s="1"/>
  <c r="I379" i="57" s="1"/>
  <c r="I293" i="56" a="1"/>
  <c r="I293" i="56" s="1"/>
  <c r="I378" i="57" s="1"/>
  <c r="I295" i="56" a="1"/>
  <c r="I295" i="56" s="1"/>
  <c r="I380" i="57" s="1"/>
  <c r="I292" i="56"/>
  <c r="I377" i="57" s="1"/>
  <c r="M395" i="57"/>
  <c r="J373" i="56" a="1"/>
  <c r="J373" i="56" s="1"/>
  <c r="J461" i="57" s="1"/>
  <c r="J371" i="56"/>
  <c r="J459" i="57" s="1"/>
  <c r="J372" i="56" a="1"/>
  <c r="J372" i="56" s="1"/>
  <c r="J460" i="57" s="1"/>
  <c r="J374" i="56" a="1"/>
  <c r="J374" i="56" s="1"/>
  <c r="J462" i="57" s="1"/>
  <c r="J294" i="56" a="1"/>
  <c r="J294" i="56" s="1"/>
  <c r="J379" i="57" s="1"/>
  <c r="J295" i="56" a="1"/>
  <c r="J295" i="56" s="1"/>
  <c r="J380" i="57" s="1"/>
  <c r="J293" i="56" a="1"/>
  <c r="J293" i="56" s="1"/>
  <c r="J378" i="57" s="1"/>
  <c r="J292" i="56"/>
  <c r="J377" i="57" s="1"/>
  <c r="I388" i="57"/>
  <c r="J402" i="57"/>
  <c r="J388" i="57"/>
  <c r="G388" i="57"/>
  <c r="K395" i="57"/>
  <c r="K402" i="57"/>
  <c r="J395" i="57"/>
  <c r="I395" i="57" l="1"/>
  <c r="H395" i="57"/>
  <c r="H381" i="57"/>
  <c r="L381" i="57"/>
  <c r="G395" i="57"/>
  <c r="G381" i="57"/>
  <c r="L314" i="56" a="1"/>
  <c r="L314" i="56" s="1"/>
  <c r="L399" i="57" s="1"/>
  <c r="L315" i="56" a="1"/>
  <c r="L315" i="56" s="1"/>
  <c r="L400" i="57" s="1"/>
  <c r="L313" i="56"/>
  <c r="L398" i="57" s="1"/>
  <c r="L316" i="56" a="1"/>
  <c r="L316" i="56" s="1"/>
  <c r="L401" i="57" s="1"/>
  <c r="L307" i="56" a="1"/>
  <c r="L307" i="56" s="1"/>
  <c r="L392" i="57" s="1"/>
  <c r="L309" i="56" a="1"/>
  <c r="L309" i="56" s="1"/>
  <c r="L394" i="57" s="1"/>
  <c r="L308" i="56" a="1"/>
  <c r="L308" i="56" s="1"/>
  <c r="L393" i="57" s="1"/>
  <c r="L306" i="56"/>
  <c r="L391" i="57" s="1"/>
  <c r="G463" i="57"/>
  <c r="M388" i="57"/>
  <c r="M313" i="56"/>
  <c r="M398" i="57" s="1"/>
  <c r="M316" i="56" a="1"/>
  <c r="M316" i="56" s="1"/>
  <c r="M401" i="57" s="1"/>
  <c r="M314" i="56" a="1"/>
  <c r="M314" i="56" s="1"/>
  <c r="M399" i="57" s="1"/>
  <c r="M315" i="56" a="1"/>
  <c r="M315" i="56" s="1"/>
  <c r="M400" i="57" s="1"/>
  <c r="L388" i="57"/>
  <c r="K463" i="57"/>
  <c r="K381" i="57"/>
  <c r="H463" i="57"/>
  <c r="M381" i="57"/>
  <c r="J463" i="57"/>
  <c r="J381" i="57"/>
  <c r="I381" i="57"/>
  <c r="I463" i="57"/>
  <c r="F2" i="30"/>
  <c r="CS1" i="30" a="1"/>
  <c r="CS1" i="30" s="1"/>
  <c r="D68" i="30" l="1"/>
  <c r="C68" i="30" s="1"/>
  <c r="F66" i="3" s="1"/>
  <c r="D7" i="30" a="1"/>
  <c r="D7" i="30" s="1"/>
  <c r="L395" i="57"/>
  <c r="M402" i="57"/>
  <c r="L402" i="57"/>
  <c r="D136" i="30" a="1"/>
  <c r="D136" i="30" s="1"/>
  <c r="C136" i="30" s="1"/>
  <c r="D141" i="30" a="1"/>
  <c r="D141" i="30" s="1"/>
  <c r="C141" i="30" s="1"/>
  <c r="D25" i="30"/>
  <c r="C25" i="30" s="1"/>
  <c r="D142" i="30" a="1"/>
  <c r="D142" i="30" s="1"/>
  <c r="D55" i="30"/>
  <c r="D137" i="30" a="1"/>
  <c r="D137" i="30" s="1"/>
  <c r="D156" i="30" a="1"/>
  <c r="D156" i="30" s="1"/>
  <c r="C156" i="30" s="1"/>
  <c r="F31" i="2" s="1"/>
  <c r="E110" i="56" s="1"/>
  <c r="D88" i="30" a="1"/>
  <c r="D88" i="30" s="1"/>
  <c r="C88" i="30" s="1"/>
  <c r="D152" i="30" a="1"/>
  <c r="D152" i="30" s="1"/>
  <c r="C152" i="30" s="1"/>
  <c r="F27" i="2" s="1"/>
  <c r="E106" i="56" s="1"/>
  <c r="D161" i="30" a="1"/>
  <c r="D161" i="30" s="1"/>
  <c r="C161" i="30" s="1"/>
  <c r="F36" i="2" s="1"/>
  <c r="E115" i="56" s="1"/>
  <c r="D157" i="30" a="1"/>
  <c r="D157" i="30" s="1"/>
  <c r="C157" i="30" s="1"/>
  <c r="F32" i="2" s="1"/>
  <c r="E111" i="56" s="1"/>
  <c r="D150" i="30" a="1"/>
  <c r="D150" i="30" s="1"/>
  <c r="C150" i="30" s="1"/>
  <c r="F25" i="2" s="1"/>
  <c r="E104" i="56" s="1"/>
  <c r="D155" i="30" a="1"/>
  <c r="D155" i="30" s="1"/>
  <c r="D163" i="30" a="1"/>
  <c r="D163" i="30" s="1"/>
  <c r="C163" i="30" s="1"/>
  <c r="F38" i="2" s="1"/>
  <c r="E117" i="56" s="1"/>
  <c r="D82" i="30" a="1"/>
  <c r="D82" i="30" s="1"/>
  <c r="C82" i="30" s="1"/>
  <c r="D60" i="30"/>
  <c r="C60" i="30" s="1"/>
  <c r="E64" i="3" s="1"/>
  <c r="K81" i="14" s="1"/>
  <c r="D36" i="30"/>
  <c r="D28" i="28" s="1"/>
  <c r="D29" i="28" s="1"/>
  <c r="D164" i="30" a="1"/>
  <c r="D164" i="30" s="1"/>
  <c r="C164" i="30" s="1"/>
  <c r="F39" i="2" s="1"/>
  <c r="E118" i="56" s="1"/>
  <c r="J118" i="56" s="1"/>
  <c r="D14" i="30"/>
  <c r="C14" i="30" s="1"/>
  <c r="K40" i="56" s="1"/>
  <c r="D31" i="30"/>
  <c r="C31" i="30" s="1"/>
  <c r="M88" i="14" s="1"/>
  <c r="D149" i="30" a="1"/>
  <c r="D149" i="30" s="1"/>
  <c r="C149" i="30" s="1"/>
  <c r="F24" i="2" s="1"/>
  <c r="E103" i="56" s="1"/>
  <c r="D138" i="30" a="1"/>
  <c r="D138" i="30" s="1"/>
  <c r="C138" i="30" s="1"/>
  <c r="D158" i="30" a="1"/>
  <c r="D158" i="30" s="1"/>
  <c r="C158" i="30" s="1"/>
  <c r="F33" i="2" s="1"/>
  <c r="E112" i="56" s="1"/>
  <c r="D162" i="30" a="1"/>
  <c r="D162" i="30" s="1"/>
  <c r="C162" i="30" s="1"/>
  <c r="F37" i="2" s="1"/>
  <c r="E116" i="56" s="1"/>
  <c r="D44" i="30"/>
  <c r="C44" i="30" s="1"/>
  <c r="G42" i="56" s="1"/>
  <c r="D59" i="30"/>
  <c r="C59" i="30" s="1"/>
  <c r="K89" i="14" s="1"/>
  <c r="D143" i="30" a="1"/>
  <c r="D143" i="30" s="1"/>
  <c r="C143" i="30" s="1"/>
  <c r="D70" i="30"/>
  <c r="C70" i="30" s="1"/>
  <c r="D135" i="30" a="1"/>
  <c r="D135" i="30" s="1"/>
  <c r="C135" i="30" s="1"/>
  <c r="CX1" i="30" a="1"/>
  <c r="CX1" i="30" s="1"/>
  <c r="DC1" i="30" s="1" a="1"/>
  <c r="DC1" i="30" s="1"/>
  <c r="D32" i="30"/>
  <c r="C32" i="30" s="1"/>
  <c r="E63" i="3" s="1"/>
  <c r="D151" i="30" a="1"/>
  <c r="D151" i="30" s="1"/>
  <c r="C151" i="30" s="1"/>
  <c r="F26" i="2" s="1"/>
  <c r="E105" i="56" s="1"/>
  <c r="D11" i="30"/>
  <c r="C11" i="30" s="1"/>
  <c r="D12" i="30"/>
  <c r="C12" i="30" s="1"/>
  <c r="E45" i="3" s="1"/>
  <c r="D13" i="30"/>
  <c r="C13" i="30" s="1"/>
  <c r="E46" i="3" s="1"/>
  <c r="D8" i="30"/>
  <c r="D23" i="30"/>
  <c r="C23" i="30" s="1"/>
  <c r="D17" i="30"/>
  <c r="C17" i="30" s="1"/>
  <c r="D18" i="30"/>
  <c r="C18" i="30" s="1"/>
  <c r="F45" i="3" s="1"/>
  <c r="D19" i="30"/>
  <c r="C19" i="30" s="1"/>
  <c r="F46" i="3" s="1"/>
  <c r="D37" i="30"/>
  <c r="C37" i="30" s="1"/>
  <c r="D41" i="30"/>
  <c r="C41" i="30" s="1"/>
  <c r="D42" i="30"/>
  <c r="C42" i="30" s="1"/>
  <c r="E52" i="3" s="1"/>
  <c r="D43" i="30"/>
  <c r="C43" i="30" s="1"/>
  <c r="E53" i="3" s="1"/>
  <c r="D38" i="30"/>
  <c r="C81" i="52" s="1"/>
  <c r="D53" i="30"/>
  <c r="C53" i="30" s="1"/>
  <c r="D54" i="3" s="1"/>
  <c r="D47" i="30"/>
  <c r="D49" i="30"/>
  <c r="C49" i="30" s="1"/>
  <c r="F53" i="3" s="1"/>
  <c r="D48" i="30"/>
  <c r="C48" i="30" s="1"/>
  <c r="F52" i="3" s="1"/>
  <c r="D114" i="30" a="1"/>
  <c r="D114" i="30" s="1"/>
  <c r="D97" i="30" a="1"/>
  <c r="D97" i="30" s="1"/>
  <c r="C84" i="52" s="1"/>
  <c r="D99" i="30" a="1"/>
  <c r="D99" i="30" s="1"/>
  <c r="D113" i="30" a="1"/>
  <c r="D113" i="30" s="1"/>
  <c r="D128" i="30" a="1"/>
  <c r="D128" i="30" s="1"/>
  <c r="D122" i="30" a="1"/>
  <c r="D122" i="30" s="1"/>
  <c r="D104" i="30" a="1"/>
  <c r="D104" i="30" s="1"/>
  <c r="C91" i="52" s="1"/>
  <c r="D132" i="30" a="1"/>
  <c r="D132" i="30" s="1"/>
  <c r="D115" i="30" a="1"/>
  <c r="D115" i="30" s="1"/>
  <c r="D131" i="30" a="1"/>
  <c r="D131" i="30" s="1"/>
  <c r="D112" i="30" a="1"/>
  <c r="D112" i="30" s="1"/>
  <c r="D96" i="30" a="1"/>
  <c r="D96" i="30" s="1"/>
  <c r="D117" i="30" a="1"/>
  <c r="D117" i="30" s="1"/>
  <c r="D105" i="30" a="1"/>
  <c r="D105" i="30" s="1"/>
  <c r="C92" i="52" s="1"/>
  <c r="D109" i="30" a="1"/>
  <c r="D109" i="30" s="1"/>
  <c r="D111" i="30" a="1"/>
  <c r="D111" i="30" s="1"/>
  <c r="D102" i="30" a="1"/>
  <c r="D102" i="30" s="1"/>
  <c r="C89" i="52" s="1"/>
  <c r="D124" i="30" a="1"/>
  <c r="D124" i="30" s="1"/>
  <c r="D106" i="30" a="1"/>
  <c r="D106" i="30" s="1"/>
  <c r="D130" i="30" a="1"/>
  <c r="D130" i="30" s="1"/>
  <c r="D116" i="30" a="1"/>
  <c r="D116" i="30" s="1"/>
  <c r="D118" i="30" a="1"/>
  <c r="D118" i="30" s="1"/>
  <c r="D98" i="30" a="1"/>
  <c r="D98" i="30" s="1"/>
  <c r="C85" i="52" s="1"/>
  <c r="D126" i="30" a="1"/>
  <c r="D126" i="30" s="1"/>
  <c r="D100" i="30" a="1"/>
  <c r="D100" i="30" s="1"/>
  <c r="C87" i="52" s="1"/>
  <c r="D119" i="30" a="1"/>
  <c r="D119" i="30" s="1"/>
  <c r="D101" i="30" a="1"/>
  <c r="D101" i="30" s="1"/>
  <c r="D123" i="30" a="1"/>
  <c r="D123" i="30" s="1"/>
  <c r="D103" i="30" a="1"/>
  <c r="D103" i="30" s="1"/>
  <c r="D125" i="30" a="1"/>
  <c r="D125" i="30" s="1"/>
  <c r="D110" i="30" a="1"/>
  <c r="D110" i="30" s="1"/>
  <c r="D129" i="30" a="1"/>
  <c r="D129" i="30" s="1"/>
  <c r="D127" i="30" a="1"/>
  <c r="D127" i="30" s="1"/>
  <c r="D20" i="30"/>
  <c r="C20" i="30" s="1"/>
  <c r="D93" i="30" a="1"/>
  <c r="D93" i="30" s="1"/>
  <c r="C93" i="30" s="1"/>
  <c r="F197" i="4"/>
  <c r="F199" i="4"/>
  <c r="L88" i="14" l="1"/>
  <c r="G88" i="14"/>
  <c r="C7" i="30"/>
  <c r="D17" i="25" s="1"/>
  <c r="D88" i="28"/>
  <c r="E36" i="30"/>
  <c r="M107" i="3"/>
  <c r="G107" i="3"/>
  <c r="J107" i="3"/>
  <c r="H107" i="3"/>
  <c r="K88" i="14"/>
  <c r="J88" i="14"/>
  <c r="H88" i="14"/>
  <c r="I88" i="14"/>
  <c r="C26" i="30"/>
  <c r="M81" i="14"/>
  <c r="H89" i="14"/>
  <c r="G89" i="14"/>
  <c r="I89" i="14"/>
  <c r="J40" i="56"/>
  <c r="L89" i="14"/>
  <c r="H40" i="56"/>
  <c r="M89" i="14"/>
  <c r="L40" i="56"/>
  <c r="G40" i="56"/>
  <c r="M40" i="56"/>
  <c r="I40" i="56"/>
  <c r="L118" i="56"/>
  <c r="H118" i="56"/>
  <c r="H81" i="14"/>
  <c r="I81" i="14"/>
  <c r="M118" i="56"/>
  <c r="G81" i="14"/>
  <c r="J81" i="14"/>
  <c r="J89" i="14"/>
  <c r="K118" i="56"/>
  <c r="L81" i="14"/>
  <c r="O177" i="27" a="1"/>
  <c r="O177" i="27" s="1"/>
  <c r="E123" i="30" s="1"/>
  <c r="C123" i="30" s="1"/>
  <c r="O156" i="27" a="1"/>
  <c r="O156" i="27" s="1"/>
  <c r="E102" i="30" s="1"/>
  <c r="C102" i="30" s="1"/>
  <c r="O164" i="27" a="1"/>
  <c r="O164" i="27" s="1"/>
  <c r="E110" i="30" s="1"/>
  <c r="C110" i="30" s="1"/>
  <c r="O186" i="27" a="1"/>
  <c r="O186" i="27" s="1"/>
  <c r="E132" i="30" s="1"/>
  <c r="C132" i="30" s="1"/>
  <c r="O143" i="27" a="1"/>
  <c r="O143" i="27" s="1"/>
  <c r="E38" i="30" s="1"/>
  <c r="C38" i="30" s="1"/>
  <c r="O151" i="27" a="1"/>
  <c r="O151" i="27" s="1"/>
  <c r="E97" i="30" s="1"/>
  <c r="C97" i="30" s="1"/>
  <c r="O173" i="27" a="1"/>
  <c r="O173" i="27" s="1"/>
  <c r="E119" i="30" s="1"/>
  <c r="C119" i="30" s="1"/>
  <c r="O157" i="27" a="1"/>
  <c r="O157" i="27" s="1"/>
  <c r="E103" i="30" s="1"/>
  <c r="C103" i="30" s="1"/>
  <c r="O176" i="27" a="1"/>
  <c r="O176" i="27" s="1"/>
  <c r="E122" i="30" s="1"/>
  <c r="C122" i="30" s="1"/>
  <c r="O150" i="27" a="1"/>
  <c r="O150" i="27" s="1"/>
  <c r="E96" i="30" s="1"/>
  <c r="C96" i="30" s="1"/>
  <c r="O180" i="27" a="1"/>
  <c r="O180" i="27" s="1"/>
  <c r="E126" i="30" s="1"/>
  <c r="C126" i="30" s="1"/>
  <c r="O163" i="27" a="1"/>
  <c r="O163" i="27" s="1"/>
  <c r="E109" i="30" s="1"/>
  <c r="C109" i="30" s="1"/>
  <c r="O155" i="27" a="1"/>
  <c r="O155" i="27" s="1"/>
  <c r="E101" i="30" s="1"/>
  <c r="C101" i="30" s="1"/>
  <c r="O158" i="27" a="1"/>
  <c r="O158" i="27" s="1"/>
  <c r="E104" i="30" s="1"/>
  <c r="C104" i="30" s="1"/>
  <c r="O146" i="27" a="1"/>
  <c r="O146" i="27" s="1"/>
  <c r="E56" i="30" s="1"/>
  <c r="O165" i="27" a="1"/>
  <c r="O165" i="27" s="1"/>
  <c r="E111" i="30" s="1"/>
  <c r="C111" i="30" s="1"/>
  <c r="O178" i="27" a="1"/>
  <c r="O178" i="27" s="1"/>
  <c r="E124" i="30" s="1"/>
  <c r="C124" i="30" s="1"/>
  <c r="K524" i="3"/>
  <c r="M524" i="3"/>
  <c r="O152" i="27" a="1"/>
  <c r="O152" i="27" s="1"/>
  <c r="E98" i="30" s="1"/>
  <c r="C98" i="30" s="1"/>
  <c r="J524" i="3"/>
  <c r="O183" i="27" a="1"/>
  <c r="O183" i="27" s="1"/>
  <c r="E129" i="30" s="1"/>
  <c r="C129" i="30" s="1"/>
  <c r="O172" i="27" a="1"/>
  <c r="O172" i="27" s="1"/>
  <c r="E118" i="30" s="1"/>
  <c r="C118" i="30" s="1"/>
  <c r="O185" i="27" a="1"/>
  <c r="O185" i="27" s="1"/>
  <c r="E131" i="30" s="1"/>
  <c r="C131" i="30" s="1"/>
  <c r="O166" i="27" a="1"/>
  <c r="O166" i="27" s="1"/>
  <c r="E112" i="30" s="1"/>
  <c r="C112" i="30" s="1"/>
  <c r="I524" i="3"/>
  <c r="O181" i="27" a="1"/>
  <c r="O181" i="27" s="1"/>
  <c r="E127" i="30" s="1"/>
  <c r="C127" i="30" s="1"/>
  <c r="H524" i="3"/>
  <c r="O168" i="27" a="1"/>
  <c r="O168" i="27" s="1"/>
  <c r="E114" i="30" s="1"/>
  <c r="C114" i="30" s="1"/>
  <c r="L524" i="3"/>
  <c r="O171" i="27" a="1"/>
  <c r="O171" i="27" s="1"/>
  <c r="E117" i="30" s="1"/>
  <c r="C117" i="30" s="1"/>
  <c r="L42" i="56"/>
  <c r="J42" i="56"/>
  <c r="I42" i="56"/>
  <c r="K42" i="56"/>
  <c r="H42" i="56"/>
  <c r="G118" i="56"/>
  <c r="I118" i="56"/>
  <c r="M42" i="56"/>
  <c r="F44" i="3"/>
  <c r="N18" i="56"/>
  <c r="E51" i="3"/>
  <c r="E55" i="3" s="1"/>
  <c r="C86" i="52"/>
  <c r="C8" i="30"/>
  <c r="E44" i="3"/>
  <c r="E48" i="3" s="1"/>
  <c r="C83" i="52"/>
  <c r="C90" i="52"/>
  <c r="D16" i="28"/>
  <c r="D47" i="3"/>
  <c r="J250" i="3"/>
  <c r="H250" i="3"/>
  <c r="I250" i="3"/>
  <c r="G250" i="3"/>
  <c r="K250" i="3"/>
  <c r="M250" i="3"/>
  <c r="L250" i="3"/>
  <c r="C93" i="52"/>
  <c r="L80" i="14"/>
  <c r="K80" i="14"/>
  <c r="J80" i="14"/>
  <c r="H80" i="14"/>
  <c r="I80" i="14"/>
  <c r="G80" i="14"/>
  <c r="M80" i="14"/>
  <c r="B4" i="27" a="1"/>
  <c r="B4" i="27" s="1"/>
  <c r="A7" i="27" s="1"/>
  <c r="O142" i="27" a="1"/>
  <c r="O142" i="27" s="1"/>
  <c r="O189" i="27" a="1"/>
  <c r="O189" i="27" s="1"/>
  <c r="E137" i="30" s="1"/>
  <c r="C137" i="30" s="1"/>
  <c r="O192" i="27" a="1"/>
  <c r="O192" i="27" s="1"/>
  <c r="E155" i="30" s="1"/>
  <c r="C155" i="30" s="1"/>
  <c r="O145" i="27" a="1"/>
  <c r="O145" i="27" s="1"/>
  <c r="E55" i="30" s="1"/>
  <c r="C55" i="30" s="1"/>
  <c r="O190" i="27" a="1"/>
  <c r="O190" i="27" s="1"/>
  <c r="E142" i="30" s="1"/>
  <c r="C142" i="30" s="1"/>
  <c r="L107" i="3"/>
  <c r="O170" i="27" a="1"/>
  <c r="O170" i="27" s="1"/>
  <c r="E116" i="30" s="1"/>
  <c r="C116" i="30" s="1"/>
  <c r="O182" i="27" a="1"/>
  <c r="O182" i="27" s="1"/>
  <c r="E128" i="30" s="1"/>
  <c r="C128" i="30" s="1"/>
  <c r="I107" i="3"/>
  <c r="O184" i="27" a="1"/>
  <c r="O184" i="27" s="1"/>
  <c r="E130" i="30" s="1"/>
  <c r="C130" i="30" s="1"/>
  <c r="O167" i="27" a="1"/>
  <c r="O167" i="27" s="1"/>
  <c r="E113" i="30" s="1"/>
  <c r="C113" i="30" s="1"/>
  <c r="K107" i="3"/>
  <c r="O154" i="27" a="1"/>
  <c r="O154" i="27" s="1"/>
  <c r="E100" i="30" s="1"/>
  <c r="C100" i="30" s="1"/>
  <c r="O169" i="27" a="1"/>
  <c r="O169" i="27" s="1"/>
  <c r="E115" i="30" s="1"/>
  <c r="C115" i="30" s="1"/>
  <c r="O179" i="27" a="1"/>
  <c r="O179" i="27" s="1"/>
  <c r="E125" i="30" s="1"/>
  <c r="C125" i="30" s="1"/>
  <c r="O159" i="27" a="1"/>
  <c r="O159" i="27" s="1"/>
  <c r="E105" i="30" s="1"/>
  <c r="C105" i="30" s="1"/>
  <c r="D17" i="28"/>
  <c r="G524" i="3"/>
  <c r="O160" i="27" a="1"/>
  <c r="O160" i="27" s="1"/>
  <c r="E106" i="30" s="1"/>
  <c r="C106" i="30" s="1"/>
  <c r="O153" i="27" a="1"/>
  <c r="O153" i="27" s="1"/>
  <c r="E99" i="30" s="1"/>
  <c r="C99" i="30" s="1"/>
  <c r="O144" i="27" a="1"/>
  <c r="O144" i="27" s="1"/>
  <c r="E47" i="30" s="1"/>
  <c r="C47" i="30" s="1"/>
  <c r="F51" i="3" s="1"/>
  <c r="D26" i="30"/>
  <c r="D24" i="30" a="1"/>
  <c r="D24" i="30" s="1"/>
  <c r="C24" i="30" s="1"/>
  <c r="D64" i="3"/>
  <c r="K91" i="3" s="1"/>
  <c r="D63" i="30"/>
  <c r="C63" i="30" s="1"/>
  <c r="D26" i="28" s="1"/>
  <c r="D22" i="28"/>
  <c r="D81" i="30" a="1"/>
  <c r="D81" i="30" s="1"/>
  <c r="C81" i="30" s="1"/>
  <c r="N42" i="56"/>
  <c r="C136" i="56"/>
  <c r="C56" i="56"/>
  <c r="B56" i="56" s="1"/>
  <c r="F81" i="56"/>
  <c r="C97" i="28"/>
  <c r="D75" i="30" a="1"/>
  <c r="D75" i="30" s="1"/>
  <c r="C75" i="30" s="1"/>
  <c r="C84" i="56" s="1"/>
  <c r="D23" i="28"/>
  <c r="D91" i="28"/>
  <c r="I220" i="3"/>
  <c r="G220" i="3"/>
  <c r="H220" i="3"/>
  <c r="J220" i="3"/>
  <c r="K220" i="3"/>
  <c r="M220" i="3"/>
  <c r="L220" i="3"/>
  <c r="D87" i="30" a="1"/>
  <c r="D87" i="30" s="1"/>
  <c r="C87" i="30" s="1"/>
  <c r="C100" i="28"/>
  <c r="D95" i="28"/>
  <c r="D90" i="28"/>
  <c r="D97" i="28"/>
  <c r="D89" i="28"/>
  <c r="D100" i="28"/>
  <c r="D101" i="28"/>
  <c r="C82" i="52"/>
  <c r="D99" i="28"/>
  <c r="D96" i="28"/>
  <c r="D102" i="28"/>
  <c r="I221" i="3"/>
  <c r="L221" i="3"/>
  <c r="H221" i="3"/>
  <c r="M221" i="3"/>
  <c r="G221" i="3"/>
  <c r="J221" i="3"/>
  <c r="K221" i="3"/>
  <c r="D144" i="30" a="1"/>
  <c r="D144" i="30" s="1"/>
  <c r="C144" i="30" s="1"/>
  <c r="D24" i="28"/>
  <c r="C91" i="28"/>
  <c r="C130" i="56"/>
  <c r="B130" i="56" s="1"/>
  <c r="F75" i="56"/>
  <c r="C49" i="56"/>
  <c r="B49" i="56" s="1"/>
  <c r="D63" i="3"/>
  <c r="F63" i="3" s="1"/>
  <c r="F198" i="4"/>
  <c r="C14" i="28" l="1"/>
  <c r="M17" i="25"/>
  <c r="K17" i="25"/>
  <c r="L17" i="25"/>
  <c r="I17" i="25"/>
  <c r="H17" i="25"/>
  <c r="J17" i="25"/>
  <c r="G17" i="25"/>
  <c r="H91" i="3"/>
  <c r="L91" i="3"/>
  <c r="F64" i="3"/>
  <c r="I116" i="3"/>
  <c r="K116" i="3"/>
  <c r="H116" i="3"/>
  <c r="J116" i="3"/>
  <c r="G116" i="3"/>
  <c r="F55" i="3"/>
  <c r="E65" i="3"/>
  <c r="F48" i="3"/>
  <c r="C56" i="30"/>
  <c r="C62" i="56"/>
  <c r="B60" i="3"/>
  <c r="C141" i="56"/>
  <c r="C86" i="56"/>
  <c r="C85" i="56"/>
  <c r="C61" i="56"/>
  <c r="B59" i="3"/>
  <c r="C140" i="56"/>
  <c r="B58" i="3"/>
  <c r="I91" i="3"/>
  <c r="M116" i="3"/>
  <c r="L116" i="3"/>
  <c r="D15" i="28"/>
  <c r="K103" i="3"/>
  <c r="D10" i="30"/>
  <c r="J103" i="3"/>
  <c r="J104" i="3" s="1"/>
  <c r="I103" i="3"/>
  <c r="I104" i="3" s="1"/>
  <c r="G103" i="3"/>
  <c r="G104" i="3" s="1"/>
  <c r="H103" i="3"/>
  <c r="H104" i="3" s="1"/>
  <c r="L103" i="3"/>
  <c r="L104" i="3" s="1"/>
  <c r="M103" i="3"/>
  <c r="F30" i="2"/>
  <c r="E109" i="56" s="1"/>
  <c r="D94" i="28"/>
  <c r="C36" i="30"/>
  <c r="B2" i="28"/>
  <c r="A8" i="27"/>
  <c r="B7" i="27"/>
  <c r="K105" i="3"/>
  <c r="D21" i="28"/>
  <c r="I105" i="3"/>
  <c r="M105" i="3"/>
  <c r="D40" i="30"/>
  <c r="G105" i="3"/>
  <c r="J105" i="3"/>
  <c r="H105" i="3"/>
  <c r="L105" i="3"/>
  <c r="G91" i="3"/>
  <c r="C139" i="56"/>
  <c r="C60" i="56"/>
  <c r="J91" i="3"/>
  <c r="M91" i="3"/>
  <c r="C99" i="28"/>
  <c r="C80" i="52"/>
  <c r="C88" i="52"/>
  <c r="D69" i="30"/>
  <c r="C69" i="30" s="1"/>
  <c r="D77" i="30" a="1"/>
  <c r="D77" i="30" s="1"/>
  <c r="C77" i="30" s="1"/>
  <c r="D85" i="30" a="1"/>
  <c r="D85" i="30" s="1"/>
  <c r="D108" i="30" a="1"/>
  <c r="D108" i="30" s="1"/>
  <c r="C108" i="30" s="1"/>
  <c r="D78" i="30" a="1"/>
  <c r="D78" i="30" s="1"/>
  <c r="C78" i="30" s="1"/>
  <c r="N139" i="56" s="1"/>
  <c r="D140" i="30" a="1"/>
  <c r="D140" i="30" s="1"/>
  <c r="C140" i="30" s="1"/>
  <c r="D148" i="30"/>
  <c r="D89" i="30" a="1"/>
  <c r="D89" i="30" s="1"/>
  <c r="C89" i="30" s="1"/>
  <c r="D56" i="30"/>
  <c r="D80" i="30" a="1"/>
  <c r="D80" i="30" s="1"/>
  <c r="C80" i="30" s="1"/>
  <c r="D65" i="30"/>
  <c r="C65" i="30" s="1"/>
  <c r="F65" i="3" s="1"/>
  <c r="D16" i="30"/>
  <c r="D64" i="30"/>
  <c r="C64" i="30" s="1"/>
  <c r="D83" i="30" a="1"/>
  <c r="D83" i="30" s="1"/>
  <c r="C83" i="30" s="1"/>
  <c r="D54" i="30"/>
  <c r="C54" i="30" s="1"/>
  <c r="D134" i="30" a="1"/>
  <c r="D134" i="30" s="1"/>
  <c r="C134" i="30" s="1"/>
  <c r="D145" i="30" a="1"/>
  <c r="D145" i="30" s="1"/>
  <c r="D29" i="30"/>
  <c r="D46" i="30"/>
  <c r="C46" i="30" s="1"/>
  <c r="C3" i="30"/>
  <c r="D76" i="30" a="1"/>
  <c r="D76" i="30" s="1"/>
  <c r="C76" i="30" s="1"/>
  <c r="D86" i="30" a="1"/>
  <c r="D86" i="30" s="1"/>
  <c r="C86" i="30" s="1"/>
  <c r="D58" i="30"/>
  <c r="C58" i="30" s="1"/>
  <c r="D22" i="30"/>
  <c r="D50" i="30"/>
  <c r="C50" i="30" s="1"/>
  <c r="D90" i="30" a="1"/>
  <c r="D90" i="30" s="1"/>
  <c r="C90" i="30" s="1"/>
  <c r="D121" i="30" a="1"/>
  <c r="D121" i="30" s="1"/>
  <c r="C121" i="30" s="1"/>
  <c r="D84" i="30" a="1"/>
  <c r="D84" i="30" s="1"/>
  <c r="C84" i="30" s="1"/>
  <c r="D95" i="30" a="1"/>
  <c r="D95" i="30" s="1"/>
  <c r="C95" i="30" s="1"/>
  <c r="D147" i="30"/>
  <c r="C147" i="30" s="1"/>
  <c r="D79" i="30" a="1"/>
  <c r="D79" i="30" s="1"/>
  <c r="C79" i="30" s="1"/>
  <c r="K104" i="3" l="1"/>
  <c r="L106" i="3"/>
  <c r="L272" i="3" s="1"/>
  <c r="H106" i="3"/>
  <c r="H272" i="3" s="1"/>
  <c r="G106" i="3"/>
  <c r="G272" i="3" s="1"/>
  <c r="J106" i="3"/>
  <c r="J272" i="3" s="1"/>
  <c r="M106" i="3"/>
  <c r="M104" i="3"/>
  <c r="I106" i="3"/>
  <c r="I272" i="3" s="1"/>
  <c r="K106" i="3"/>
  <c r="K84" i="14"/>
  <c r="H84" i="14"/>
  <c r="G84" i="14"/>
  <c r="L84" i="14"/>
  <c r="J84" i="14"/>
  <c r="I84" i="14"/>
  <c r="M84" i="14"/>
  <c r="B2" i="57"/>
  <c r="B2" i="53"/>
  <c r="B2" i="25"/>
  <c r="B2" i="14"/>
  <c r="B2" i="56"/>
  <c r="B2" i="49"/>
  <c r="B2" i="3"/>
  <c r="B2" i="2"/>
  <c r="B2" i="55"/>
  <c r="C197" i="28"/>
  <c r="B2" i="4"/>
  <c r="B2" i="22"/>
  <c r="D18" i="25"/>
  <c r="C5" i="30"/>
  <c r="C20" i="28"/>
  <c r="A9" i="27"/>
  <c r="B8" i="27"/>
  <c r="C8" i="27" s="1"/>
  <c r="C7" i="27"/>
  <c r="F196" i="4"/>
  <c r="K272" i="3" l="1"/>
  <c r="M272" i="3"/>
  <c r="G18" i="25"/>
  <c r="K18" i="25"/>
  <c r="I18" i="25"/>
  <c r="L18" i="25"/>
  <c r="H18" i="25"/>
  <c r="J18" i="25"/>
  <c r="M18" i="25"/>
  <c r="A10" i="27"/>
  <c r="B9" i="27"/>
  <c r="B186" i="4"/>
  <c r="C9" i="27" l="1"/>
  <c r="A11" i="27"/>
  <c r="B10" i="27"/>
  <c r="C10" i="27" s="1"/>
  <c r="CS10" i="30"/>
  <c r="A12" i="27" l="1"/>
  <c r="B11" i="27"/>
  <c r="C11" i="27" s="1"/>
  <c r="A13" i="27" l="1"/>
  <c r="B12" i="27"/>
  <c r="C12" i="27" s="1"/>
  <c r="A14" i="27" l="1"/>
  <c r="B13" i="27"/>
  <c r="C13" i="27" s="1"/>
  <c r="A15" i="27" l="1"/>
  <c r="B14" i="27"/>
  <c r="C14" i="27" s="1"/>
  <c r="A16" i="27" l="1"/>
  <c r="B15" i="27"/>
  <c r="C15" i="27" s="1"/>
  <c r="A17" i="27" l="1"/>
  <c r="B16" i="27"/>
  <c r="C16" i="27" s="1"/>
  <c r="A18" i="27" l="1"/>
  <c r="B17" i="27"/>
  <c r="C17" i="27" s="1"/>
  <c r="D15" i="27" a="1"/>
  <c r="A19" i="27" l="1"/>
  <c r="B18" i="27"/>
  <c r="C18" i="27" s="1"/>
  <c r="D15" i="27"/>
  <c r="E15" i="27" a="1"/>
  <c r="A20" i="27" l="1"/>
  <c r="B19" i="27"/>
  <c r="C19" i="27" s="1"/>
  <c r="E15" i="27"/>
  <c r="G15" i="27" a="1"/>
  <c r="A21" i="27" l="1"/>
  <c r="B20" i="27"/>
  <c r="C20" i="27" s="1"/>
  <c r="G15" i="27"/>
  <c r="H15" i="27" a="1"/>
  <c r="A22" i="27" l="1"/>
  <c r="B21" i="27"/>
  <c r="C21" i="27" s="1"/>
  <c r="H15" i="27"/>
  <c r="F15" i="27" a="1"/>
  <c r="A23" i="27" l="1"/>
  <c r="B22" i="27"/>
  <c r="C22" i="27" s="1"/>
  <c r="F15" i="27"/>
  <c r="D11" i="27" a="1"/>
  <c r="F22" i="27" a="1"/>
  <c r="F22" i="27" l="1"/>
  <c r="A24" i="27"/>
  <c r="B23" i="27"/>
  <c r="C23" i="27" s="1"/>
  <c r="D11" i="27"/>
  <c r="G11" i="27" a="1"/>
  <c r="A25" i="27" l="1"/>
  <c r="B24" i="27"/>
  <c r="C24" i="27" s="1"/>
  <c r="G11" i="27"/>
  <c r="H24" i="27" a="1"/>
  <c r="D24" i="27" a="1"/>
  <c r="F24" i="27" a="1"/>
  <c r="E24" i="27" a="1"/>
  <c r="E11" i="27" a="1"/>
  <c r="G24" i="27" a="1"/>
  <c r="G24" i="27" l="1"/>
  <c r="E24" i="27"/>
  <c r="H24" i="27"/>
  <c r="D24" i="27"/>
  <c r="F24" i="27"/>
  <c r="A26" i="27"/>
  <c r="B25" i="27"/>
  <c r="C25" i="27" s="1"/>
  <c r="E11" i="27"/>
  <c r="H11" i="27" a="1"/>
  <c r="A27" i="27" l="1"/>
  <c r="B26" i="27"/>
  <c r="C26" i="27" s="1"/>
  <c r="H11" i="27"/>
  <c r="D25" i="27" a="1"/>
  <c r="F25" i="27" a="1"/>
  <c r="G25" i="27" a="1"/>
  <c r="E25" i="27" a="1"/>
  <c r="H25" i="27" a="1"/>
  <c r="F11" i="27" a="1"/>
  <c r="H25" i="27" l="1"/>
  <c r="E25" i="27"/>
  <c r="G25" i="27"/>
  <c r="F25" i="27"/>
  <c r="D25" i="27"/>
  <c r="A28" i="27"/>
  <c r="B27" i="27"/>
  <c r="C27" i="27" s="1"/>
  <c r="G26" i="27" a="1"/>
  <c r="G26" i="27" s="1"/>
  <c r="D26" i="27" a="1"/>
  <c r="D26" i="27" s="1"/>
  <c r="F26" i="27" a="1"/>
  <c r="F26" i="27" s="1"/>
  <c r="E26" i="27" a="1"/>
  <c r="E26" i="27" s="1"/>
  <c r="H26" i="27" a="1"/>
  <c r="H26" i="27" s="1"/>
  <c r="F11" i="27"/>
  <c r="D13" i="27" a="1"/>
  <c r="F27" i="27" l="1" a="1"/>
  <c r="F27" i="27" s="1"/>
  <c r="H27" i="27" a="1"/>
  <c r="H27" i="27" s="1"/>
  <c r="D27" i="27" a="1"/>
  <c r="D27" i="27" s="1"/>
  <c r="G27" i="27" a="1"/>
  <c r="G27" i="27" s="1"/>
  <c r="E27" i="27" a="1"/>
  <c r="E27" i="27" s="1"/>
  <c r="A29" i="27"/>
  <c r="B28" i="27"/>
  <c r="C28" i="27" s="1"/>
  <c r="D13" i="27"/>
  <c r="E13" i="27" a="1"/>
  <c r="E28" i="27" l="1" a="1"/>
  <c r="E28" i="27" s="1"/>
  <c r="G28" i="27" a="1"/>
  <c r="G28" i="27" s="1"/>
  <c r="D28" i="27" a="1"/>
  <c r="D28" i="27" s="1"/>
  <c r="F28" i="27" a="1"/>
  <c r="F28" i="27" s="1"/>
  <c r="H28" i="27" a="1"/>
  <c r="H28" i="27" s="1"/>
  <c r="A30" i="27"/>
  <c r="B29" i="27"/>
  <c r="C29" i="27" s="1"/>
  <c r="E13" i="27"/>
  <c r="F13" i="27" a="1"/>
  <c r="A31" i="27" l="1"/>
  <c r="B30" i="27"/>
  <c r="C30" i="27" s="1"/>
  <c r="E29" i="27" a="1"/>
  <c r="E29" i="27" s="1"/>
  <c r="D29" i="27" a="1"/>
  <c r="D29" i="27" s="1"/>
  <c r="H29" i="27" a="1"/>
  <c r="H29" i="27" s="1"/>
  <c r="G29" i="27" a="1"/>
  <c r="G29" i="27" s="1"/>
  <c r="F29" i="27" a="1"/>
  <c r="F29" i="27" s="1"/>
  <c r="F13" i="27"/>
  <c r="H13" i="27" a="1"/>
  <c r="E30" i="27" l="1" a="1"/>
  <c r="E30" i="27" s="1"/>
  <c r="H30" i="27" a="1"/>
  <c r="H30" i="27" s="1"/>
  <c r="G30" i="27" a="1"/>
  <c r="G30" i="27" s="1"/>
  <c r="D30" i="27" a="1"/>
  <c r="D30" i="27" s="1"/>
  <c r="F30" i="27" a="1"/>
  <c r="F30" i="27" s="1"/>
  <c r="A32" i="27"/>
  <c r="B31" i="27"/>
  <c r="C31" i="27" s="1"/>
  <c r="H13" i="27"/>
  <c r="G13" i="27" a="1"/>
  <c r="H31" i="27" l="1" a="1"/>
  <c r="H31" i="27" s="1"/>
  <c r="F31" i="27" a="1"/>
  <c r="F31" i="27" s="1"/>
  <c r="G31" i="27" a="1"/>
  <c r="G31" i="27" s="1"/>
  <c r="D31" i="27" a="1"/>
  <c r="D31" i="27" s="1"/>
  <c r="E31" i="27" a="1"/>
  <c r="E31" i="27" s="1"/>
  <c r="A33" i="27"/>
  <c r="B32" i="27"/>
  <c r="C32" i="27" s="1"/>
  <c r="G13" i="27"/>
  <c r="D16" i="27" a="1"/>
  <c r="D32" i="27" l="1" a="1"/>
  <c r="D32" i="27" s="1"/>
  <c r="E32" i="27" a="1"/>
  <c r="E32" i="27" s="1"/>
  <c r="H32" i="27" a="1"/>
  <c r="H32" i="27" s="1"/>
  <c r="F32" i="27" a="1"/>
  <c r="F32" i="27" s="1"/>
  <c r="G32" i="27" a="1"/>
  <c r="G32" i="27" s="1"/>
  <c r="A34" i="27"/>
  <c r="B33" i="27"/>
  <c r="C33" i="27" s="1"/>
  <c r="D16" i="27"/>
  <c r="H16" i="27" a="1"/>
  <c r="A35" i="27" l="1"/>
  <c r="B34" i="27"/>
  <c r="C34" i="27" s="1"/>
  <c r="D33" i="27" a="1"/>
  <c r="D33" i="27" s="1"/>
  <c r="F33" i="27" a="1"/>
  <c r="F33" i="27" s="1"/>
  <c r="E33" i="27" a="1"/>
  <c r="E33" i="27" s="1"/>
  <c r="G33" i="27" a="1"/>
  <c r="G33" i="27" s="1"/>
  <c r="H33" i="27" a="1"/>
  <c r="H33" i="27" s="1"/>
  <c r="H16" i="27"/>
  <c r="F16" i="27" a="1"/>
  <c r="F34" i="27" l="1" a="1"/>
  <c r="F34" i="27" s="1"/>
  <c r="G34" i="27" a="1"/>
  <c r="G34" i="27" s="1"/>
  <c r="E34" i="27" a="1"/>
  <c r="E34" i="27" s="1"/>
  <c r="D34" i="27" a="1"/>
  <c r="D34" i="27" s="1"/>
  <c r="H34" i="27" a="1"/>
  <c r="H34" i="27" s="1"/>
  <c r="A36" i="27"/>
  <c r="B35" i="27"/>
  <c r="C35" i="27" s="1"/>
  <c r="F16" i="27"/>
  <c r="E16" i="27" a="1"/>
  <c r="E35" i="27" l="1" a="1"/>
  <c r="E35" i="27" s="1"/>
  <c r="F35" i="27" a="1"/>
  <c r="F35" i="27" s="1"/>
  <c r="D35" i="27" a="1"/>
  <c r="D35" i="27" s="1"/>
  <c r="G35" i="27" a="1"/>
  <c r="G35" i="27" s="1"/>
  <c r="H35" i="27" a="1"/>
  <c r="H35" i="27" s="1"/>
  <c r="A37" i="27"/>
  <c r="B36" i="27"/>
  <c r="C36" i="27" s="1"/>
  <c r="E16" i="27"/>
  <c r="G16" i="27" a="1"/>
  <c r="A38" i="27" l="1"/>
  <c r="B37" i="27"/>
  <c r="C37" i="27" s="1"/>
  <c r="E36" i="27" a="1"/>
  <c r="E36" i="27" s="1"/>
  <c r="F36" i="27" a="1"/>
  <c r="F36" i="27" s="1"/>
  <c r="G36" i="27" a="1"/>
  <c r="G36" i="27" s="1"/>
  <c r="D36" i="27" a="1"/>
  <c r="D36" i="27" s="1"/>
  <c r="H36" i="27" a="1"/>
  <c r="H36" i="27" s="1"/>
  <c r="G16" i="27"/>
  <c r="D19" i="27" a="1"/>
  <c r="G37" i="27" l="1" a="1"/>
  <c r="G37" i="27" s="1"/>
  <c r="H37" i="27" a="1"/>
  <c r="H37" i="27" s="1"/>
  <c r="E37" i="27" a="1"/>
  <c r="E37" i="27" s="1"/>
  <c r="F37" i="27" a="1"/>
  <c r="F37" i="27" s="1"/>
  <c r="D37" i="27" a="1"/>
  <c r="D37" i="27" s="1"/>
  <c r="A39" i="27"/>
  <c r="B38" i="27"/>
  <c r="C38" i="27" s="1"/>
  <c r="D19" i="27"/>
  <c r="H19" i="27" a="1"/>
  <c r="G38" i="27" l="1" a="1"/>
  <c r="G38" i="27" s="1"/>
  <c r="D38" i="27" a="1"/>
  <c r="D38" i="27" s="1"/>
  <c r="H38" i="27" a="1"/>
  <c r="H38" i="27" s="1"/>
  <c r="E38" i="27" a="1"/>
  <c r="E38" i="27" s="1"/>
  <c r="F38" i="27" a="1"/>
  <c r="F38" i="27" s="1"/>
  <c r="A40" i="27"/>
  <c r="B39" i="27"/>
  <c r="C39" i="27" s="1"/>
  <c r="H19" i="27"/>
  <c r="G19" i="27" a="1"/>
  <c r="F39" i="27" l="1" a="1"/>
  <c r="F39" i="27" s="1"/>
  <c r="D39" i="27" a="1"/>
  <c r="D39" i="27" s="1"/>
  <c r="H39" i="27" a="1"/>
  <c r="H39" i="27" s="1"/>
  <c r="G39" i="27" a="1"/>
  <c r="G39" i="27" s="1"/>
  <c r="E39" i="27" a="1"/>
  <c r="E39" i="27" s="1"/>
  <c r="A41" i="27"/>
  <c r="B40" i="27"/>
  <c r="C40" i="27" s="1"/>
  <c r="G19" i="27"/>
  <c r="F19" i="27" a="1"/>
  <c r="D40" i="27" l="1" a="1"/>
  <c r="D40" i="27" s="1"/>
  <c r="F40" i="27" a="1"/>
  <c r="F40" i="27" s="1"/>
  <c r="E40" i="27" a="1"/>
  <c r="E40" i="27" s="1"/>
  <c r="H40" i="27" a="1"/>
  <c r="H40" i="27" s="1"/>
  <c r="G40" i="27" a="1"/>
  <c r="G40" i="27" s="1"/>
  <c r="A42" i="27"/>
  <c r="B41" i="27"/>
  <c r="C41" i="27" s="1"/>
  <c r="F19" i="27"/>
  <c r="E19" i="27" a="1"/>
  <c r="E41" i="27" l="1" a="1"/>
  <c r="E41" i="27" s="1"/>
  <c r="F41" i="27" a="1"/>
  <c r="F41" i="27" s="1"/>
  <c r="G41" i="27" a="1"/>
  <c r="G41" i="27" s="1"/>
  <c r="D41" i="27" a="1"/>
  <c r="D41" i="27" s="1"/>
  <c r="H41" i="27" a="1"/>
  <c r="H41" i="27" s="1"/>
  <c r="A43" i="27"/>
  <c r="B42" i="27"/>
  <c r="C42" i="27" s="1"/>
  <c r="E19" i="27"/>
  <c r="D21" i="27" a="1"/>
  <c r="A44" i="27" l="1"/>
  <c r="B43" i="27"/>
  <c r="C43" i="27" s="1"/>
  <c r="H42" i="27" a="1"/>
  <c r="H42" i="27" s="1"/>
  <c r="G42" i="27" a="1"/>
  <c r="G42" i="27" s="1"/>
  <c r="E42" i="27" a="1"/>
  <c r="E42" i="27" s="1"/>
  <c r="D42" i="27" a="1"/>
  <c r="D42" i="27" s="1"/>
  <c r="F42" i="27" a="1"/>
  <c r="F42" i="27" s="1"/>
  <c r="D21" i="27"/>
  <c r="H21" i="27" a="1"/>
  <c r="G43" i="27" l="1" a="1"/>
  <c r="G43" i="27" s="1"/>
  <c r="E43" i="27" a="1"/>
  <c r="E43" i="27" s="1"/>
  <c r="D43" i="27" a="1"/>
  <c r="D43" i="27" s="1"/>
  <c r="H43" i="27" a="1"/>
  <c r="H43" i="27" s="1"/>
  <c r="F43" i="27" a="1"/>
  <c r="F43" i="27" s="1"/>
  <c r="A45" i="27"/>
  <c r="B44" i="27"/>
  <c r="C44" i="27" s="1"/>
  <c r="H21" i="27"/>
  <c r="G21" i="27" a="1"/>
  <c r="G44" i="27" l="1" a="1"/>
  <c r="G44" i="27" s="1"/>
  <c r="F44" i="27" a="1"/>
  <c r="F44" i="27" s="1"/>
  <c r="H44" i="27" a="1"/>
  <c r="H44" i="27" s="1"/>
  <c r="D44" i="27" a="1"/>
  <c r="D44" i="27" s="1"/>
  <c r="E44" i="27" a="1"/>
  <c r="E44" i="27" s="1"/>
  <c r="A46" i="27"/>
  <c r="B45" i="27"/>
  <c r="C45" i="27" s="1"/>
  <c r="G21" i="27"/>
  <c r="F21" i="27" a="1"/>
  <c r="A47" i="27" l="1"/>
  <c r="B46" i="27"/>
  <c r="C46" i="27" s="1"/>
  <c r="E45" i="27" a="1"/>
  <c r="E45" i="27" s="1"/>
  <c r="F45" i="27" a="1"/>
  <c r="F45" i="27" s="1"/>
  <c r="H45" i="27" a="1"/>
  <c r="H45" i="27" s="1"/>
  <c r="D45" i="27" a="1"/>
  <c r="D45" i="27" s="1"/>
  <c r="G45" i="27" a="1"/>
  <c r="G45" i="27" s="1"/>
  <c r="F21" i="27"/>
  <c r="E21" i="27" a="1"/>
  <c r="G46" i="27" l="1" a="1"/>
  <c r="G46" i="27" s="1"/>
  <c r="E46" i="27" a="1"/>
  <c r="E46" i="27" s="1"/>
  <c r="D46" i="27" a="1"/>
  <c r="D46" i="27" s="1"/>
  <c r="F46" i="27" a="1"/>
  <c r="F46" i="27" s="1"/>
  <c r="H46" i="27" a="1"/>
  <c r="H46" i="27" s="1"/>
  <c r="A48" i="27"/>
  <c r="B47" i="27"/>
  <c r="C47" i="27" s="1"/>
  <c r="E21" i="27"/>
  <c r="D7" i="27" a="1"/>
  <c r="H47" i="27" l="1" a="1"/>
  <c r="H47" i="27" s="1"/>
  <c r="E47" i="27" a="1"/>
  <c r="E47" i="27" s="1"/>
  <c r="F47" i="27" a="1"/>
  <c r="F47" i="27" s="1"/>
  <c r="G47" i="27" a="1"/>
  <c r="G47" i="27" s="1"/>
  <c r="D47" i="27" a="1"/>
  <c r="D47" i="27" s="1"/>
  <c r="A49" i="27"/>
  <c r="B48" i="27"/>
  <c r="C48" i="27" s="1"/>
  <c r="D7" i="27"/>
  <c r="H7" i="27" a="1"/>
  <c r="A50" i="27" l="1"/>
  <c r="B49" i="27"/>
  <c r="C49" i="27" s="1"/>
  <c r="E48" i="27" a="1"/>
  <c r="E48" i="27" s="1"/>
  <c r="G48" i="27" a="1"/>
  <c r="G48" i="27" s="1"/>
  <c r="F48" i="27" a="1"/>
  <c r="F48" i="27" s="1"/>
  <c r="H48" i="27" a="1"/>
  <c r="H48" i="27" s="1"/>
  <c r="D48" i="27" a="1"/>
  <c r="D48" i="27" s="1"/>
  <c r="H7" i="27"/>
  <c r="E7" i="27" a="1"/>
  <c r="E49" i="27" l="1" a="1"/>
  <c r="E49" i="27" s="1"/>
  <c r="F49" i="27" a="1"/>
  <c r="F49" i="27" s="1"/>
  <c r="H49" i="27" a="1"/>
  <c r="H49" i="27" s="1"/>
  <c r="G49" i="27" a="1"/>
  <c r="G49" i="27" s="1"/>
  <c r="D49" i="27" a="1"/>
  <c r="D49" i="27" s="1"/>
  <c r="B50" i="27"/>
  <c r="C50" i="27" s="1"/>
  <c r="A51" i="27"/>
  <c r="E7" i="27"/>
  <c r="G7" i="27" a="1"/>
  <c r="B51" i="27" l="1"/>
  <c r="C51" i="27" s="1"/>
  <c r="A52" i="27"/>
  <c r="G50" i="27" a="1"/>
  <c r="G50" i="27" s="1"/>
  <c r="D50" i="27" a="1"/>
  <c r="D50" i="27" s="1"/>
  <c r="H50" i="27" a="1"/>
  <c r="H50" i="27" s="1"/>
  <c r="F50" i="27" a="1"/>
  <c r="F50" i="27" s="1"/>
  <c r="E50" i="27" a="1"/>
  <c r="E50" i="27" s="1"/>
  <c r="G7" i="27"/>
  <c r="F7" i="27" a="1"/>
  <c r="A53" i="27" l="1"/>
  <c r="B52" i="27"/>
  <c r="C52" i="27" s="1"/>
  <c r="G51" i="27" a="1"/>
  <c r="G51" i="27" s="1"/>
  <c r="F51" i="27" a="1"/>
  <c r="F51" i="27" s="1"/>
  <c r="H51" i="27" a="1"/>
  <c r="H51" i="27" s="1"/>
  <c r="E51" i="27" a="1"/>
  <c r="E51" i="27" s="1"/>
  <c r="D51" i="27" a="1"/>
  <c r="D51" i="27" s="1"/>
  <c r="F7" i="27"/>
  <c r="D17" i="27" a="1"/>
  <c r="D52" i="27" l="1" a="1"/>
  <c r="D52" i="27" s="1"/>
  <c r="H52" i="27" a="1"/>
  <c r="H52" i="27" s="1"/>
  <c r="E52" i="27" a="1"/>
  <c r="E52" i="27" s="1"/>
  <c r="G52" i="27" a="1"/>
  <c r="G52" i="27" s="1"/>
  <c r="F52" i="27" a="1"/>
  <c r="F52" i="27" s="1"/>
  <c r="A54" i="27"/>
  <c r="B53" i="27"/>
  <c r="C53" i="27" s="1"/>
  <c r="D17" i="27"/>
  <c r="F17" i="27" a="1"/>
  <c r="A55" i="27" l="1"/>
  <c r="B54" i="27"/>
  <c r="C54" i="27" s="1"/>
  <c r="E53" i="27" a="1"/>
  <c r="E53" i="27" s="1"/>
  <c r="H53" i="27" a="1"/>
  <c r="H53" i="27" s="1"/>
  <c r="F53" i="27" a="1"/>
  <c r="F53" i="27" s="1"/>
  <c r="D53" i="27" a="1"/>
  <c r="D53" i="27" s="1"/>
  <c r="G53" i="27" a="1"/>
  <c r="G53" i="27" s="1"/>
  <c r="F17" i="27"/>
  <c r="G17" i="27" a="1"/>
  <c r="B55" i="27" l="1"/>
  <c r="C55" i="27" s="1"/>
  <c r="A56" i="27"/>
  <c r="H54" i="27" a="1"/>
  <c r="H54" i="27" s="1"/>
  <c r="E54" i="27" a="1"/>
  <c r="E54" i="27" s="1"/>
  <c r="G54" i="27" a="1"/>
  <c r="G54" i="27" s="1"/>
  <c r="F54" i="27" a="1"/>
  <c r="F54" i="27" s="1"/>
  <c r="D54" i="27" a="1"/>
  <c r="D54" i="27" s="1"/>
  <c r="G17" i="27"/>
  <c r="H17" i="27" a="1"/>
  <c r="A57" i="27" l="1"/>
  <c r="B56" i="27"/>
  <c r="C56" i="27" s="1"/>
  <c r="E55" i="27" a="1"/>
  <c r="E55" i="27" s="1"/>
  <c r="G55" i="27" a="1"/>
  <c r="G55" i="27" s="1"/>
  <c r="D55" i="27" a="1"/>
  <c r="D55" i="27" s="1"/>
  <c r="H55" i="27" a="1"/>
  <c r="H55" i="27" s="1"/>
  <c r="F55" i="27" a="1"/>
  <c r="F55" i="27" s="1"/>
  <c r="H17" i="27"/>
  <c r="E17" i="27" a="1"/>
  <c r="G56" i="27" l="1" a="1"/>
  <c r="G56" i="27" s="1"/>
  <c r="F56" i="27" a="1"/>
  <c r="F56" i="27" s="1"/>
  <c r="E56" i="27" a="1"/>
  <c r="E56" i="27" s="1"/>
  <c r="D56" i="27" a="1"/>
  <c r="D56" i="27" s="1"/>
  <c r="H56" i="27" a="1"/>
  <c r="H56" i="27" s="1"/>
  <c r="B57" i="27"/>
  <c r="C57" i="27" s="1"/>
  <c r="A58" i="27"/>
  <c r="B58" i="27" s="1"/>
  <c r="E17" i="27"/>
  <c r="D23" i="27" a="1"/>
  <c r="D57" i="27" l="1" a="1"/>
  <c r="D57" i="27" s="1"/>
  <c r="G57" i="27" a="1"/>
  <c r="G57" i="27" s="1"/>
  <c r="E57" i="27" a="1"/>
  <c r="E57" i="27" s="1"/>
  <c r="H57" i="27" a="1"/>
  <c r="H57" i="27" s="1"/>
  <c r="F57" i="27" a="1"/>
  <c r="F57" i="27" s="1"/>
  <c r="C58" i="27"/>
  <c r="CS11" i="30"/>
  <c r="C107" i="52"/>
  <c r="D23" i="27"/>
  <c r="E23" i="27" a="1"/>
  <c r="CQ106" i="30" l="1" a="1"/>
  <c r="CQ106" i="30" s="1"/>
  <c r="CQ118" i="30" a="1"/>
  <c r="CQ118" i="30" s="1"/>
  <c r="CQ93" i="30" a="1"/>
  <c r="CQ93" i="30" s="1"/>
  <c r="CQ18" i="30" a="1"/>
  <c r="CQ18" i="30" s="1"/>
  <c r="CQ115" i="30" a="1"/>
  <c r="CQ115" i="30" s="1"/>
  <c r="CQ96" i="30" a="1"/>
  <c r="CQ96" i="30" s="1"/>
  <c r="CQ13" i="30" a="1"/>
  <c r="CQ13" i="30" s="1"/>
  <c r="CQ19" i="30" a="1"/>
  <c r="CQ19" i="30" s="1"/>
  <c r="CQ132" i="30" a="1"/>
  <c r="CQ132" i="30" s="1"/>
  <c r="CQ103" i="30" a="1"/>
  <c r="CQ103" i="30" s="1"/>
  <c r="CQ116" i="30" a="1"/>
  <c r="CQ116" i="30" s="1"/>
  <c r="CQ109" i="30" a="1"/>
  <c r="CQ109" i="30" s="1"/>
  <c r="CQ128" i="30" a="1"/>
  <c r="CQ128" i="30" s="1"/>
  <c r="CQ130" i="30" a="1"/>
  <c r="CQ130" i="30" s="1"/>
  <c r="CQ17" i="30" a="1"/>
  <c r="CQ17" i="30" s="1"/>
  <c r="CQ129" i="30" a="1"/>
  <c r="CQ129" i="30" s="1"/>
  <c r="CQ12" i="30" a="1"/>
  <c r="CQ12" i="30" s="1"/>
  <c r="CQ135" i="30" a="1"/>
  <c r="CQ135" i="30" s="1"/>
  <c r="CQ98" i="30" a="1"/>
  <c r="CQ98" i="30" s="1"/>
  <c r="CQ24" i="30" a="1"/>
  <c r="CQ24" i="30" s="1"/>
  <c r="CQ111" i="30" a="1"/>
  <c r="CQ111" i="30" s="1"/>
  <c r="CQ113" i="30" a="1"/>
  <c r="CQ113" i="30" s="1"/>
  <c r="CQ110" i="30" a="1"/>
  <c r="CQ110" i="30" s="1"/>
  <c r="CQ155" i="30" a="1"/>
  <c r="CQ155" i="30" s="1"/>
  <c r="CQ125" i="30" a="1"/>
  <c r="CQ125" i="30" s="1"/>
  <c r="CQ104" i="30" a="1"/>
  <c r="CQ104" i="30" s="1"/>
  <c r="CQ8" i="30" a="1"/>
  <c r="CQ8" i="30" s="1"/>
  <c r="CQ99" i="30" a="1"/>
  <c r="CQ99" i="30" s="1"/>
  <c r="CQ117" i="30" a="1"/>
  <c r="CQ117" i="30" s="1"/>
  <c r="CQ122" i="30" a="1"/>
  <c r="CQ122" i="30" s="1"/>
  <c r="CQ23" i="30" a="1"/>
  <c r="CQ23" i="30" s="1"/>
  <c r="CQ124" i="30" a="1"/>
  <c r="CQ124" i="30" s="1"/>
  <c r="CQ36" i="30" a="1"/>
  <c r="CQ36" i="30" s="1"/>
  <c r="CS12" i="30" s="1"/>
  <c r="CQ101" i="30" a="1"/>
  <c r="CQ101" i="30" s="1"/>
  <c r="CQ149" i="30" a="1"/>
  <c r="CQ149" i="30" s="1"/>
  <c r="CQ123" i="30" a="1"/>
  <c r="CQ123" i="30" s="1"/>
  <c r="CQ97" i="30" a="1"/>
  <c r="CQ97" i="30" s="1"/>
  <c r="CQ114" i="30" a="1"/>
  <c r="CQ114" i="30" s="1"/>
  <c r="CQ11" i="30" a="1"/>
  <c r="CQ11" i="30" s="1"/>
  <c r="CQ126" i="30" a="1"/>
  <c r="CQ126" i="30" s="1"/>
  <c r="CQ127" i="30" a="1"/>
  <c r="CQ127" i="30" s="1"/>
  <c r="CQ100" i="30" a="1"/>
  <c r="CQ100" i="30" s="1"/>
  <c r="CQ26" i="30" a="1"/>
  <c r="CQ26" i="30" s="1"/>
  <c r="CQ102" i="30" a="1"/>
  <c r="CQ102" i="30" s="1"/>
  <c r="CQ119" i="30" a="1"/>
  <c r="CQ119" i="30" s="1"/>
  <c r="CQ112" i="30" a="1"/>
  <c r="CQ112" i="30" s="1"/>
  <c r="CQ32" i="30" a="1"/>
  <c r="CQ32" i="30" s="1"/>
  <c r="CQ131" i="30" a="1"/>
  <c r="CQ131" i="30" s="1"/>
  <c r="CQ105" i="30" a="1"/>
  <c r="CQ105" i="30" s="1"/>
  <c r="D58" i="27" a="1"/>
  <c r="D58" i="27" s="1"/>
  <c r="F58" i="27" a="1"/>
  <c r="F58" i="27" s="1"/>
  <c r="H58" i="27" a="1"/>
  <c r="H58" i="27" s="1"/>
  <c r="G58" i="27" a="1"/>
  <c r="G58" i="27" s="1"/>
  <c r="E58" i="27" a="1"/>
  <c r="E58" i="27" s="1"/>
  <c r="I119" i="52"/>
  <c r="E23" i="27"/>
  <c r="E22" i="27" a="1"/>
  <c r="G22" i="27" a="1"/>
  <c r="H22" i="27" a="1"/>
  <c r="D22" i="27" a="1"/>
  <c r="F23" i="27" a="1"/>
  <c r="CQ25" i="30" l="1"/>
  <c r="D22" i="27"/>
  <c r="G22" i="27"/>
  <c r="E22" i="27"/>
  <c r="H22" i="27"/>
  <c r="CQ137" i="30"/>
  <c r="CQ142" i="30" s="1"/>
  <c r="CQ136" i="30"/>
  <c r="CQ141" i="30" s="1"/>
  <c r="F23" i="27"/>
  <c r="L156" i="3"/>
  <c r="I156" i="3"/>
  <c r="K156" i="3"/>
  <c r="M156" i="3"/>
  <c r="H156" i="3"/>
  <c r="J156" i="3"/>
  <c r="G156" i="3"/>
  <c r="M122" i="3"/>
  <c r="J122" i="3"/>
  <c r="K122" i="3"/>
  <c r="H122" i="3"/>
  <c r="L122" i="3"/>
  <c r="G122" i="3"/>
  <c r="I122" i="3"/>
  <c r="I123" i="3"/>
  <c r="L123" i="3"/>
  <c r="J123" i="3"/>
  <c r="G123" i="3"/>
  <c r="M123" i="3"/>
  <c r="H123" i="3"/>
  <c r="K123" i="3"/>
  <c r="G131" i="3"/>
  <c r="I131" i="3"/>
  <c r="M131" i="3"/>
  <c r="L131" i="3"/>
  <c r="J131" i="3"/>
  <c r="H131" i="3"/>
  <c r="K131" i="3"/>
  <c r="J124" i="3"/>
  <c r="J125" i="3" s="1"/>
  <c r="I124" i="3"/>
  <c r="I125" i="3" s="1"/>
  <c r="K124" i="3"/>
  <c r="K125" i="3" s="1"/>
  <c r="L124" i="3"/>
  <c r="L125" i="3" s="1"/>
  <c r="G124" i="3"/>
  <c r="G125" i="3" s="1"/>
  <c r="M124" i="3"/>
  <c r="M125" i="3" s="1"/>
  <c r="H124" i="3"/>
  <c r="H125" i="3" s="1"/>
  <c r="J132" i="3"/>
  <c r="J133" i="3" s="1"/>
  <c r="I132" i="3"/>
  <c r="I133" i="3" s="1"/>
  <c r="H132" i="3"/>
  <c r="H133" i="3" s="1"/>
  <c r="G132" i="3"/>
  <c r="G133" i="3" s="1"/>
  <c r="L132" i="3"/>
  <c r="L133" i="3" s="1"/>
  <c r="K132" i="3"/>
  <c r="K133" i="3" s="1"/>
  <c r="M132" i="3"/>
  <c r="M133" i="3" s="1"/>
  <c r="K155" i="3"/>
  <c r="K366" i="3" s="1"/>
  <c r="M155" i="3"/>
  <c r="M477" i="3" s="1"/>
  <c r="M480" i="3" s="1"/>
  <c r="J155" i="3"/>
  <c r="J98" i="4" s="1"/>
  <c r="G155" i="3"/>
  <c r="G366" i="3" s="1"/>
  <c r="L155" i="3"/>
  <c r="L366" i="3" s="1"/>
  <c r="L45" i="4" s="1"/>
  <c r="I155" i="3"/>
  <c r="I366" i="3" s="1"/>
  <c r="H155" i="3"/>
  <c r="H366" i="3" s="1"/>
  <c r="G140" i="3"/>
  <c r="G364" i="3" s="1"/>
  <c r="G369" i="3" s="1"/>
  <c r="I129" i="3"/>
  <c r="I130" i="3" s="1"/>
  <c r="H129" i="3"/>
  <c r="H130" i="3" s="1"/>
  <c r="J129" i="3"/>
  <c r="J130" i="3" s="1"/>
  <c r="M129" i="3"/>
  <c r="M130" i="3" s="1"/>
  <c r="K129" i="3"/>
  <c r="K130" i="3" s="1"/>
  <c r="G129" i="3"/>
  <c r="G130" i="3" s="1"/>
  <c r="L129" i="3"/>
  <c r="L130" i="3" s="1"/>
  <c r="M142" i="3"/>
  <c r="M141" i="3"/>
  <c r="J142" i="3"/>
  <c r="J141" i="3"/>
  <c r="H142" i="3"/>
  <c r="H141" i="3"/>
  <c r="G142" i="3"/>
  <c r="G141" i="3"/>
  <c r="I142" i="3"/>
  <c r="I141" i="3"/>
  <c r="K142" i="3"/>
  <c r="K141" i="3"/>
  <c r="L142" i="3"/>
  <c r="L141" i="3"/>
  <c r="H140" i="3"/>
  <c r="H364" i="3" s="1"/>
  <c r="H369" i="3" s="1"/>
  <c r="H225" i="3" s="1"/>
  <c r="H226" i="3" s="1"/>
  <c r="H19" i="49" s="1"/>
  <c r="K140" i="3"/>
  <c r="K364" i="3" s="1"/>
  <c r="K369" i="3" s="1"/>
  <c r="K225" i="3" s="1"/>
  <c r="K226" i="3" s="1"/>
  <c r="K19" i="49" s="1"/>
  <c r="J140" i="3"/>
  <c r="J364" i="3" s="1"/>
  <c r="J369" i="3" s="1"/>
  <c r="J225" i="3" s="1"/>
  <c r="J226" i="3" s="1"/>
  <c r="J19" i="49" s="1"/>
  <c r="M140" i="3"/>
  <c r="M364" i="3" s="1"/>
  <c r="M369" i="3" s="1"/>
  <c r="M225" i="3" s="1"/>
  <c r="M226" i="3" s="1"/>
  <c r="M19" i="49" s="1"/>
  <c r="I140" i="3"/>
  <c r="I364" i="3" s="1"/>
  <c r="I369" i="3" s="1"/>
  <c r="I225" i="3" s="1"/>
  <c r="I226" i="3" s="1"/>
  <c r="I19" i="49" s="1"/>
  <c r="L140" i="3"/>
  <c r="L364" i="3" s="1"/>
  <c r="L369" i="3" s="1"/>
  <c r="L225" i="3" s="1"/>
  <c r="L226" i="3" s="1"/>
  <c r="L19" i="49" s="1"/>
  <c r="D12" i="27" a="1"/>
  <c r="H8" i="27" a="1"/>
  <c r="F18" i="27" a="1"/>
  <c r="F8" i="27" a="1"/>
  <c r="E20" i="27" a="1"/>
  <c r="E14" i="27" a="1"/>
  <c r="G23" i="27" a="1"/>
  <c r="D20" i="27" a="1"/>
  <c r="E9" i="27" a="1"/>
  <c r="G10" i="27" a="1"/>
  <c r="D9" i="27" a="1"/>
  <c r="H9" i="27" a="1"/>
  <c r="E18" i="27" a="1"/>
  <c r="F12" i="27" a="1"/>
  <c r="D8" i="27" a="1"/>
  <c r="H10" i="27" a="1"/>
  <c r="E10" i="27" a="1"/>
  <c r="F9" i="27" a="1"/>
  <c r="H12" i="27" a="1"/>
  <c r="F10" i="27" a="1"/>
  <c r="G12" i="27" a="1"/>
  <c r="D10" i="27" a="1"/>
  <c r="F14" i="27" a="1"/>
  <c r="G14" i="27" a="1"/>
  <c r="E12" i="27" a="1"/>
  <c r="H14" i="27" a="1"/>
  <c r="H18" i="27" a="1"/>
  <c r="G9" i="27" a="1"/>
  <c r="G8" i="27" a="1"/>
  <c r="G18" i="27" a="1"/>
  <c r="H20" i="27" a="1"/>
  <c r="D14" i="27" a="1"/>
  <c r="E8" i="27" a="1"/>
  <c r="D18" i="27" a="1"/>
  <c r="F20" i="27" a="1"/>
  <c r="G20" i="27" a="1"/>
  <c r="H23" i="27" a="1"/>
  <c r="H10" i="27" l="1"/>
  <c r="D8" i="27"/>
  <c r="E18" i="27"/>
  <c r="G9" i="27"/>
  <c r="F18" i="27"/>
  <c r="D10" i="27"/>
  <c r="E12" i="27"/>
  <c r="H9" i="27"/>
  <c r="D18" i="27"/>
  <c r="H18" i="27"/>
  <c r="F12" i="27"/>
  <c r="G10" i="27"/>
  <c r="G12" i="27"/>
  <c r="D9" i="27"/>
  <c r="H23" i="27"/>
  <c r="E10" i="27"/>
  <c r="D12" i="27"/>
  <c r="G8" i="27"/>
  <c r="G23" i="27"/>
  <c r="E20" i="27"/>
  <c r="E8" i="27"/>
  <c r="H20" i="27"/>
  <c r="F9" i="27"/>
  <c r="G20" i="27"/>
  <c r="F8" i="27"/>
  <c r="D20" i="27"/>
  <c r="H14" i="27"/>
  <c r="F14" i="27"/>
  <c r="E14" i="27"/>
  <c r="G18" i="27"/>
  <c r="H12" i="27"/>
  <c r="F20" i="27"/>
  <c r="H8" i="27"/>
  <c r="F10" i="27"/>
  <c r="G14" i="27"/>
  <c r="D14" i="27"/>
  <c r="E9" i="27"/>
  <c r="M145" i="3"/>
  <c r="M147" i="3" s="1"/>
  <c r="J72" i="4"/>
  <c r="G45" i="4"/>
  <c r="G16" i="3"/>
  <c r="J477" i="3"/>
  <c r="J480" i="3" s="1"/>
  <c r="L72" i="4"/>
  <c r="L98" i="4"/>
  <c r="L477" i="3"/>
  <c r="L480" i="3" s="1"/>
  <c r="G98" i="4"/>
  <c r="J366" i="3"/>
  <c r="G72" i="4"/>
  <c r="K72" i="4"/>
  <c r="G477" i="3"/>
  <c r="G480" i="3" s="1"/>
  <c r="I477" i="3"/>
  <c r="I480" i="3" s="1"/>
  <c r="I98" i="4"/>
  <c r="I72" i="4"/>
  <c r="I16" i="3"/>
  <c r="I45" i="4"/>
  <c r="K45" i="4"/>
  <c r="K16" i="3"/>
  <c r="G225" i="3"/>
  <c r="G226" i="3" s="1"/>
  <c r="G227" i="3"/>
  <c r="H16" i="3"/>
  <c r="H45" i="4"/>
  <c r="K98" i="4"/>
  <c r="H98" i="4"/>
  <c r="H477" i="3"/>
  <c r="H480" i="3" s="1"/>
  <c r="H72" i="4"/>
  <c r="L16" i="3"/>
  <c r="M366" i="3"/>
  <c r="M72" i="4"/>
  <c r="K477" i="3"/>
  <c r="K480" i="3" s="1"/>
  <c r="M98" i="4"/>
  <c r="J227" i="3"/>
  <c r="J212" i="3" s="1"/>
  <c r="J455" i="3" s="1"/>
  <c r="J88" i="25" s="1"/>
  <c r="H227" i="3"/>
  <c r="H204" i="3" s="1"/>
  <c r="L173" i="3"/>
  <c r="I227" i="3"/>
  <c r="I204" i="3" s="1"/>
  <c r="K227" i="3"/>
  <c r="K204" i="3" s="1"/>
  <c r="M227" i="3"/>
  <c r="M204" i="3" s="1"/>
  <c r="H173" i="3"/>
  <c r="I173" i="3"/>
  <c r="M173" i="3"/>
  <c r="K173" i="3"/>
  <c r="J173" i="3"/>
  <c r="L227" i="3"/>
  <c r="L212" i="3" s="1"/>
  <c r="L455" i="3" s="1"/>
  <c r="L88" i="25" s="1"/>
  <c r="K181" i="3"/>
  <c r="K336" i="3" s="1"/>
  <c r="K159" i="56" s="1"/>
  <c r="K55" i="57" s="1"/>
  <c r="J181" i="3"/>
  <c r="J336" i="3" s="1"/>
  <c r="J159" i="56" s="1"/>
  <c r="J55" i="57" s="1"/>
  <c r="M212" i="3" l="1"/>
  <c r="M455" i="3" s="1"/>
  <c r="M88" i="25" s="1"/>
  <c r="M148" i="3"/>
  <c r="M150" i="3" s="1"/>
  <c r="J145" i="3"/>
  <c r="K212" i="3"/>
  <c r="K455" i="3" s="1"/>
  <c r="K88" i="25" s="1"/>
  <c r="I212" i="3"/>
  <c r="I455" i="3" s="1"/>
  <c r="I88" i="25" s="1"/>
  <c r="M146" i="3"/>
  <c r="L204" i="3"/>
  <c r="L145" i="3"/>
  <c r="J204" i="3"/>
  <c r="J45" i="4"/>
  <c r="J16" i="3"/>
  <c r="H145" i="3"/>
  <c r="H146" i="3" s="1"/>
  <c r="G145" i="3"/>
  <c r="I145" i="3"/>
  <c r="G20" i="49"/>
  <c r="G522" i="3"/>
  <c r="G19" i="4"/>
  <c r="G188" i="3"/>
  <c r="G453" i="3" s="1"/>
  <c r="G181" i="3"/>
  <c r="G336" i="3" s="1"/>
  <c r="G19" i="49"/>
  <c r="G173" i="3"/>
  <c r="H212" i="3"/>
  <c r="H455" i="3" s="1"/>
  <c r="H88" i="25" s="1"/>
  <c r="K19" i="4"/>
  <c r="K522" i="3"/>
  <c r="K20" i="49"/>
  <c r="K57" i="49" s="1"/>
  <c r="K107" i="49" s="1"/>
  <c r="K129" i="49" s="1" a="1"/>
  <c r="K129" i="49" s="1"/>
  <c r="H522" i="3"/>
  <c r="H19" i="4"/>
  <c r="H20" i="49"/>
  <c r="G204" i="3"/>
  <c r="G196" i="3"/>
  <c r="G212" i="3"/>
  <c r="G455" i="3" s="1"/>
  <c r="K145" i="3"/>
  <c r="M45" i="4"/>
  <c r="M16" i="3"/>
  <c r="L20" i="49"/>
  <c r="L19" i="4"/>
  <c r="L522" i="3"/>
  <c r="I20" i="49"/>
  <c r="I19" i="4"/>
  <c r="I522" i="3"/>
  <c r="H181" i="3"/>
  <c r="H336" i="3" s="1"/>
  <c r="H85" i="25" s="1"/>
  <c r="M181" i="3"/>
  <c r="M336" i="3" s="1"/>
  <c r="M171" i="56"/>
  <c r="M68" i="57" s="1"/>
  <c r="I181" i="3"/>
  <c r="I336" i="3" s="1"/>
  <c r="I159" i="56" s="1"/>
  <c r="I55" i="57" s="1"/>
  <c r="H147" i="3" l="1"/>
  <c r="H148" i="3"/>
  <c r="H150" i="3" s="1"/>
  <c r="J146" i="3"/>
  <c r="J148" i="3"/>
  <c r="J150" i="3" s="1"/>
  <c r="J147" i="3"/>
  <c r="L147" i="3"/>
  <c r="L146" i="3"/>
  <c r="L148" i="3"/>
  <c r="L150" i="3" s="1"/>
  <c r="M85" i="25"/>
  <c r="M159" i="56"/>
  <c r="M55" i="57" s="1"/>
  <c r="G68" i="49"/>
  <c r="G118" i="49" s="1"/>
  <c r="G61" i="49"/>
  <c r="G63" i="49"/>
  <c r="G113" i="49" s="1"/>
  <c r="G57" i="49"/>
  <c r="G107" i="49" s="1"/>
  <c r="G129" i="49" s="1" a="1"/>
  <c r="G129" i="49" s="1"/>
  <c r="G71" i="49"/>
  <c r="G121" i="49" s="1"/>
  <c r="G131" i="49" s="1"/>
  <c r="I147" i="3"/>
  <c r="I148" i="3"/>
  <c r="I150" i="3" s="1"/>
  <c r="I146" i="3"/>
  <c r="J522" i="3"/>
  <c r="J20" i="49"/>
  <c r="J19" i="4"/>
  <c r="G148" i="3"/>
  <c r="G150" i="3" s="1"/>
  <c r="G147" i="3"/>
  <c r="G146" i="3"/>
  <c r="L68" i="49"/>
  <c r="L118" i="49" s="1"/>
  <c r="L63" i="49"/>
  <c r="L113" i="49" s="1"/>
  <c r="L71" i="49"/>
  <c r="L121" i="49" s="1"/>
  <c r="L131" i="49" s="1"/>
  <c r="L61" i="49"/>
  <c r="K147" i="3"/>
  <c r="K148" i="3"/>
  <c r="K150" i="3" s="1"/>
  <c r="K146" i="3"/>
  <c r="I63" i="49"/>
  <c r="I113" i="49" s="1"/>
  <c r="I61" i="49"/>
  <c r="I68" i="49"/>
  <c r="I118" i="49" s="1"/>
  <c r="I71" i="49"/>
  <c r="I121" i="49" s="1"/>
  <c r="I131" i="49" s="1"/>
  <c r="AZ105" i="27"/>
  <c r="G88" i="25"/>
  <c r="G171" i="56"/>
  <c r="G68" i="57" s="1"/>
  <c r="H71" i="49"/>
  <c r="H121" i="49" s="1"/>
  <c r="H131" i="49" s="1"/>
  <c r="H61" i="49"/>
  <c r="H68" i="49"/>
  <c r="H118" i="49" s="1"/>
  <c r="H63" i="49"/>
  <c r="H113" i="49" s="1"/>
  <c r="M20" i="49"/>
  <c r="M19" i="4"/>
  <c r="M522" i="3"/>
  <c r="AZ95" i="27"/>
  <c r="G85" i="25"/>
  <c r="G159" i="56"/>
  <c r="G55" i="57" s="1"/>
  <c r="K61" i="49"/>
  <c r="K63" i="49"/>
  <c r="K113" i="49" s="1"/>
  <c r="K71" i="49"/>
  <c r="K121" i="49" s="1"/>
  <c r="K131" i="49" s="1"/>
  <c r="K68" i="49"/>
  <c r="K118" i="49" s="1"/>
  <c r="AZ101" i="27"/>
  <c r="G167" i="56"/>
  <c r="G64" i="57" s="1"/>
  <c r="J85" i="25"/>
  <c r="K85" i="25"/>
  <c r="H159" i="56"/>
  <c r="H55" i="57" s="1"/>
  <c r="L181" i="3"/>
  <c r="L336" i="3" s="1"/>
  <c r="L159" i="56" s="1"/>
  <c r="L55" i="57" s="1"/>
  <c r="I85" i="25"/>
  <c r="I57" i="49"/>
  <c r="I107" i="49" s="1"/>
  <c r="I129" i="49" s="1" a="1"/>
  <c r="I129" i="49" s="1"/>
  <c r="J61" i="49" l="1"/>
  <c r="J63" i="49"/>
  <c r="J71" i="49"/>
  <c r="J121" i="49" s="1"/>
  <c r="J131" i="49" s="1"/>
  <c r="J68" i="49"/>
  <c r="J118" i="49" s="1"/>
  <c r="G147" i="49"/>
  <c r="G139" i="49" a="1"/>
  <c r="G139" i="49" s="1"/>
  <c r="G148" i="49" a="1"/>
  <c r="G148" i="49" s="1"/>
  <c r="G138" i="49"/>
  <c r="G111" i="49"/>
  <c r="G130" i="49" s="1" a="1"/>
  <c r="G130" i="49" s="1"/>
  <c r="G133" i="49" s="1"/>
  <c r="H147" i="49"/>
  <c r="H111" i="49"/>
  <c r="H130" i="49" s="1" a="1"/>
  <c r="H130" i="49" s="1"/>
  <c r="H138" i="49"/>
  <c r="H139" i="49" a="1"/>
  <c r="H139" i="49" s="1"/>
  <c r="H148" i="49" a="1"/>
  <c r="H148" i="49" s="1"/>
  <c r="K138" i="49"/>
  <c r="K147" i="49"/>
  <c r="K111" i="49"/>
  <c r="K130" i="49" s="1" a="1"/>
  <c r="K130" i="49" s="1"/>
  <c r="K133" i="49" s="1"/>
  <c r="K148" i="49" a="1"/>
  <c r="K148" i="49" s="1"/>
  <c r="K139" i="49" a="1"/>
  <c r="K139" i="49" s="1"/>
  <c r="L138" i="49"/>
  <c r="L139" i="49" a="1"/>
  <c r="L139" i="49" s="1"/>
  <c r="L111" i="49"/>
  <c r="L130" i="49" s="1" a="1"/>
  <c r="L130" i="49" s="1"/>
  <c r="L148" i="49" a="1"/>
  <c r="L148" i="49" s="1"/>
  <c r="L147" i="49"/>
  <c r="M61" i="49"/>
  <c r="M68" i="49"/>
  <c r="M118" i="49" s="1"/>
  <c r="M71" i="49"/>
  <c r="M121" i="49" s="1"/>
  <c r="M131" i="49" s="1"/>
  <c r="M63" i="49"/>
  <c r="M113" i="49" s="1"/>
  <c r="M57" i="49"/>
  <c r="M107" i="49" s="1"/>
  <c r="M129" i="49" s="1" a="1"/>
  <c r="M129" i="49" s="1"/>
  <c r="I148" i="49" a="1"/>
  <c r="I148" i="49" s="1"/>
  <c r="I139" i="49" a="1"/>
  <c r="I139" i="49" s="1"/>
  <c r="I111" i="49"/>
  <c r="I130" i="49" s="1" a="1"/>
  <c r="I130" i="49" s="1"/>
  <c r="I133" i="49" s="1"/>
  <c r="I138" i="49"/>
  <c r="I147" i="49"/>
  <c r="L85" i="25"/>
  <c r="J57" i="49"/>
  <c r="J107" i="49" s="1"/>
  <c r="J129" i="49" s="1" a="1"/>
  <c r="J129" i="49" s="1"/>
  <c r="I202" i="4"/>
  <c r="K202" i="4"/>
  <c r="G202" i="4"/>
  <c r="G149" i="49" l="1"/>
  <c r="G150" i="49" s="1"/>
  <c r="J148" i="49" a="1"/>
  <c r="J148" i="49" s="1"/>
  <c r="J113" i="49"/>
  <c r="G179" i="56"/>
  <c r="G140" i="49"/>
  <c r="G141" i="49" s="1"/>
  <c r="J147" i="49"/>
  <c r="J149" i="49" s="1"/>
  <c r="J138" i="49"/>
  <c r="J140" i="49" s="1"/>
  <c r="J139" i="49" a="1"/>
  <c r="J139" i="49" s="1"/>
  <c r="J111" i="49"/>
  <c r="I140" i="49"/>
  <c r="I141" i="49" s="1"/>
  <c r="K140" i="49"/>
  <c r="K141" i="49" s="1"/>
  <c r="I149" i="49"/>
  <c r="I150" i="49" s="1"/>
  <c r="L140" i="49"/>
  <c r="L141" i="49" s="1"/>
  <c r="H140" i="49"/>
  <c r="H141" i="49" s="1"/>
  <c r="M139" i="49" a="1"/>
  <c r="M139" i="49" s="1"/>
  <c r="M111" i="49"/>
  <c r="M130" i="49" s="1" a="1"/>
  <c r="M130" i="49" s="1"/>
  <c r="M133" i="49" s="1"/>
  <c r="M148" i="49" a="1"/>
  <c r="M148" i="49" s="1"/>
  <c r="M138" i="49"/>
  <c r="M147" i="49"/>
  <c r="L149" i="49"/>
  <c r="L150" i="49" s="1"/>
  <c r="K149" i="49"/>
  <c r="K150" i="49" s="1"/>
  <c r="H149" i="49"/>
  <c r="H150" i="49" s="1"/>
  <c r="J171" i="56"/>
  <c r="J68" i="57" s="1"/>
  <c r="L188" i="3"/>
  <c r="L453" i="3" s="1"/>
  <c r="L167" i="56" s="1"/>
  <c r="L64" i="57" s="1"/>
  <c r="M188" i="3"/>
  <c r="M453" i="3" s="1"/>
  <c r="M167" i="56" s="1"/>
  <c r="M64" i="57" s="1"/>
  <c r="J188" i="3"/>
  <c r="J453" i="3" s="1"/>
  <c r="J167" i="56" s="1"/>
  <c r="J64" i="57" s="1"/>
  <c r="K179" i="56"/>
  <c r="K60" i="22" s="1"/>
  <c r="L57" i="49"/>
  <c r="L107" i="49" s="1"/>
  <c r="L129" i="49" s="1" a="1"/>
  <c r="L129" i="49" s="1"/>
  <c r="L133" i="49" s="1"/>
  <c r="M202" i="4"/>
  <c r="L202" i="4"/>
  <c r="J141" i="49" l="1"/>
  <c r="J130" i="49" a="1"/>
  <c r="J130" i="49" s="1"/>
  <c r="J133" i="49" s="1"/>
  <c r="J150" i="49"/>
  <c r="G60" i="22"/>
  <c r="G90" i="57"/>
  <c r="G241" i="57" s="1"/>
  <c r="G40" i="55"/>
  <c r="G48" i="55" s="1"/>
  <c r="G120" i="55" s="1"/>
  <c r="G110" i="55" s="1"/>
  <c r="M149" i="49"/>
  <c r="M150" i="49" s="1"/>
  <c r="M140" i="49"/>
  <c r="M141" i="49" s="1"/>
  <c r="I179" i="56"/>
  <c r="I60" i="22" s="1"/>
  <c r="I188" i="3"/>
  <c r="I453" i="3" s="1"/>
  <c r="I167" i="56" s="1"/>
  <c r="I64" i="57" s="1"/>
  <c r="K188" i="3"/>
  <c r="K453" i="3" s="1"/>
  <c r="K167" i="56" s="1"/>
  <c r="K64" i="57" s="1"/>
  <c r="L171" i="56"/>
  <c r="L68" i="57" s="1"/>
  <c r="I171" i="56"/>
  <c r="I68" i="57" s="1"/>
  <c r="H188" i="3"/>
  <c r="H453" i="3" s="1"/>
  <c r="H167" i="56" s="1"/>
  <c r="H64" i="57" s="1"/>
  <c r="M179" i="56"/>
  <c r="M60" i="22" s="1"/>
  <c r="H57" i="49"/>
  <c r="H107" i="49" s="1"/>
  <c r="H129" i="49" s="1" a="1"/>
  <c r="H129" i="49" s="1"/>
  <c r="H133" i="49" s="1"/>
  <c r="H179" i="56" s="1"/>
  <c r="H40" i="55" s="1"/>
  <c r="H48" i="55" s="1"/>
  <c r="H120" i="55" s="1"/>
  <c r="H110" i="55" s="1"/>
  <c r="H171" i="56"/>
  <c r="H68" i="57" s="1"/>
  <c r="J179" i="56"/>
  <c r="J60" i="22" s="1"/>
  <c r="K90" i="57"/>
  <c r="L179" i="56"/>
  <c r="L90" i="57" s="1"/>
  <c r="K40" i="55"/>
  <c r="K48" i="55" s="1"/>
  <c r="K120" i="55" s="1"/>
  <c r="K110" i="55" s="1"/>
  <c r="I142" i="49"/>
  <c r="I459" i="3" s="1"/>
  <c r="I26" i="22" s="1"/>
  <c r="I203" i="4"/>
  <c r="J202" i="4"/>
  <c r="H202" i="4"/>
  <c r="L40" i="55" l="1"/>
  <c r="L48" i="55" s="1"/>
  <c r="L120" i="55" s="1"/>
  <c r="L110" i="55" s="1"/>
  <c r="J90" i="57"/>
  <c r="I40" i="55"/>
  <c r="I48" i="55" s="1"/>
  <c r="I120" i="55" s="1"/>
  <c r="I110" i="55" s="1"/>
  <c r="M90" i="57"/>
  <c r="M98" i="57" s="1"/>
  <c r="M40" i="55"/>
  <c r="M48" i="55" s="1"/>
  <c r="M120" i="55" s="1"/>
  <c r="M110" i="55" s="1"/>
  <c r="I90" i="57"/>
  <c r="I98" i="57" s="1"/>
  <c r="J40" i="55"/>
  <c r="J48" i="55" s="1"/>
  <c r="J120" i="55" s="1"/>
  <c r="J110" i="55" s="1"/>
  <c r="H60" i="22"/>
  <c r="L60" i="22"/>
  <c r="H90" i="57"/>
  <c r="J142" i="49"/>
  <c r="J459" i="3" s="1"/>
  <c r="J26" i="22" s="1"/>
  <c r="G151" i="49"/>
  <c r="G451" i="3" s="1"/>
  <c r="H142" i="49"/>
  <c r="H459" i="3" s="1"/>
  <c r="H26" i="22" s="1"/>
  <c r="L142" i="49"/>
  <c r="L459" i="3" s="1"/>
  <c r="L26" i="22" s="1"/>
  <c r="G142" i="49"/>
  <c r="G459" i="3" s="1"/>
  <c r="G26" i="22" s="1"/>
  <c r="J151" i="49"/>
  <c r="J451" i="3" s="1"/>
  <c r="L151" i="49"/>
  <c r="L451" i="3" s="1"/>
  <c r="K142" i="49"/>
  <c r="K459" i="3" s="1"/>
  <c r="K26" i="22" s="1"/>
  <c r="M142" i="49"/>
  <c r="M459" i="3" s="1"/>
  <c r="M26" i="22" s="1"/>
  <c r="K151" i="49"/>
  <c r="K451" i="3" s="1"/>
  <c r="H151" i="49"/>
  <c r="H451" i="3" s="1"/>
  <c r="I151" i="49"/>
  <c r="I451" i="3" s="1"/>
  <c r="M151" i="49"/>
  <c r="M451" i="3" s="1"/>
  <c r="I151" i="3"/>
  <c r="M151" i="3"/>
  <c r="L190" i="3"/>
  <c r="L151" i="3"/>
  <c r="J151" i="3"/>
  <c r="H151" i="3"/>
  <c r="G151" i="3"/>
  <c r="K151" i="3"/>
  <c r="G157" i="3"/>
  <c r="G158" i="3" s="1"/>
  <c r="K157" i="3"/>
  <c r="K158" i="3" s="1"/>
  <c r="G518" i="3"/>
  <c r="I196" i="3"/>
  <c r="M190" i="3"/>
  <c r="H157" i="3"/>
  <c r="H158" i="3" s="1"/>
  <c r="L157" i="3"/>
  <c r="L158" i="3" s="1"/>
  <c r="H518" i="3"/>
  <c r="I157" i="3"/>
  <c r="I158" i="3" s="1"/>
  <c r="M157" i="3"/>
  <c r="M158" i="3" s="1"/>
  <c r="I518" i="3"/>
  <c r="K196" i="3"/>
  <c r="J157" i="3"/>
  <c r="J158" i="3" s="1"/>
  <c r="J518" i="3"/>
  <c r="L196" i="3"/>
  <c r="K518" i="3"/>
  <c r="M196" i="3"/>
  <c r="L518" i="3"/>
  <c r="M518" i="3"/>
  <c r="K171" i="56"/>
  <c r="K68" i="57" s="1"/>
  <c r="K226" i="57" s="1"/>
  <c r="G214" i="3"/>
  <c r="H214" i="3"/>
  <c r="I214" i="3"/>
  <c r="J214" i="3"/>
  <c r="K214" i="3"/>
  <c r="L214" i="3"/>
  <c r="M214" i="3"/>
  <c r="G183" i="3"/>
  <c r="H183" i="3"/>
  <c r="G252" i="3"/>
  <c r="I183" i="3"/>
  <c r="H252" i="3"/>
  <c r="J183" i="3"/>
  <c r="I252" i="3"/>
  <c r="K183" i="3"/>
  <c r="J252" i="3"/>
  <c r="M183" i="3"/>
  <c r="L252" i="3"/>
  <c r="H510" i="3"/>
  <c r="G190" i="3"/>
  <c r="M252" i="3"/>
  <c r="I510" i="3"/>
  <c r="H190" i="3"/>
  <c r="J510" i="3"/>
  <c r="I190" i="3"/>
  <c r="K510" i="3"/>
  <c r="J190" i="3"/>
  <c r="L510" i="3"/>
  <c r="L98" i="57"/>
  <c r="K252" i="3"/>
  <c r="J196" i="3"/>
  <c r="M213" i="57"/>
  <c r="H226" i="57"/>
  <c r="L183" i="3"/>
  <c r="G510" i="3"/>
  <c r="K190" i="3"/>
  <c r="H196" i="3"/>
  <c r="G98" i="57"/>
  <c r="J98" i="57"/>
  <c r="J241" i="57"/>
  <c r="J529" i="57" s="1"/>
  <c r="L241" i="57"/>
  <c r="L529" i="57" s="1"/>
  <c r="K241" i="57"/>
  <c r="K529" i="57" s="1"/>
  <c r="G213" i="57"/>
  <c r="H213" i="57"/>
  <c r="G226" i="57"/>
  <c r="I213" i="57"/>
  <c r="I226" i="57"/>
  <c r="M510" i="3"/>
  <c r="J213" i="57"/>
  <c r="J226" i="57"/>
  <c r="K213" i="57"/>
  <c r="L213" i="57"/>
  <c r="L226" i="57"/>
  <c r="M226" i="57"/>
  <c r="G222" i="57"/>
  <c r="H222" i="57"/>
  <c r="I222" i="57"/>
  <c r="J222" i="57"/>
  <c r="H98" i="57"/>
  <c r="K98" i="57"/>
  <c r="K222" i="57"/>
  <c r="L222" i="57"/>
  <c r="M222" i="57"/>
  <c r="H241" i="57"/>
  <c r="G529" i="57"/>
  <c r="H203" i="4"/>
  <c r="L203" i="4"/>
  <c r="H204" i="4"/>
  <c r="J203" i="4"/>
  <c r="M203" i="4"/>
  <c r="L204" i="4"/>
  <c r="G203" i="4"/>
  <c r="K204" i="4"/>
  <c r="I204" i="4"/>
  <c r="G204" i="4"/>
  <c r="K203" i="4"/>
  <c r="J204" i="4"/>
  <c r="M204" i="4"/>
  <c r="I241" i="57" l="1"/>
  <c r="I529" i="57" s="1"/>
  <c r="M241" i="57"/>
  <c r="M529" i="57" s="1"/>
  <c r="H529" i="57"/>
  <c r="G17" i="3"/>
  <c r="H17" i="3"/>
  <c r="I17" i="3"/>
  <c r="J17" i="3"/>
  <c r="K17" i="3"/>
  <c r="L17" i="3"/>
  <c r="M17" i="3"/>
  <c r="G23" i="3"/>
  <c r="H23" i="3"/>
  <c r="I23" i="3"/>
  <c r="J23" i="3"/>
  <c r="K23" i="3"/>
  <c r="L23" i="3"/>
  <c r="M23" i="3"/>
  <c r="G34" i="3"/>
  <c r="H34" i="3"/>
  <c r="I34" i="3"/>
  <c r="J34" i="3"/>
  <c r="K34" i="3"/>
  <c r="L34" i="3"/>
  <c r="M34" i="3"/>
  <c r="G35" i="3"/>
  <c r="H35" i="3"/>
  <c r="I35" i="3"/>
  <c r="J35" i="3"/>
  <c r="K35" i="3"/>
  <c r="L35" i="3"/>
  <c r="M35" i="3"/>
  <c r="G36" i="3"/>
  <c r="H36" i="3"/>
  <c r="I36" i="3"/>
  <c r="J36" i="3"/>
  <c r="K36" i="3"/>
  <c r="L36" i="3"/>
  <c r="M36" i="3"/>
  <c r="G37" i="3"/>
  <c r="H37" i="3"/>
  <c r="I37" i="3"/>
  <c r="J37" i="3"/>
  <c r="K37" i="3"/>
  <c r="L37" i="3"/>
  <c r="M37" i="3"/>
  <c r="G38" i="3"/>
  <c r="H38" i="3"/>
  <c r="I38" i="3"/>
  <c r="J38" i="3"/>
  <c r="K38" i="3"/>
  <c r="L38" i="3"/>
  <c r="M38" i="3"/>
  <c r="G44" i="3"/>
  <c r="H44" i="3"/>
  <c r="I44" i="3"/>
  <c r="J44" i="3"/>
  <c r="K44" i="3"/>
  <c r="L44" i="3"/>
  <c r="M44" i="3"/>
  <c r="G45" i="3"/>
  <c r="H45" i="3"/>
  <c r="I45" i="3"/>
  <c r="J45" i="3"/>
  <c r="K45" i="3"/>
  <c r="L45" i="3"/>
  <c r="M45" i="3"/>
  <c r="G46" i="3"/>
  <c r="H46" i="3"/>
  <c r="I46" i="3"/>
  <c r="J46" i="3"/>
  <c r="K46" i="3"/>
  <c r="L46" i="3"/>
  <c r="M46" i="3"/>
  <c r="G47" i="3"/>
  <c r="H47" i="3"/>
  <c r="I47" i="3"/>
  <c r="J47" i="3"/>
  <c r="K47" i="3"/>
  <c r="L47" i="3"/>
  <c r="M47" i="3"/>
  <c r="G48" i="3"/>
  <c r="H48" i="3"/>
  <c r="I48" i="3"/>
  <c r="J48" i="3"/>
  <c r="K48" i="3"/>
  <c r="L48" i="3"/>
  <c r="M48" i="3"/>
  <c r="G51" i="3"/>
  <c r="H51" i="3"/>
  <c r="I51" i="3"/>
  <c r="J51" i="3"/>
  <c r="K51" i="3"/>
  <c r="L51" i="3"/>
  <c r="M51" i="3"/>
  <c r="G52" i="3"/>
  <c r="H52" i="3"/>
  <c r="I52" i="3"/>
  <c r="J52" i="3"/>
  <c r="K52" i="3"/>
  <c r="L52" i="3"/>
  <c r="M52" i="3"/>
  <c r="G53" i="3"/>
  <c r="H53" i="3"/>
  <c r="I53" i="3"/>
  <c r="J53" i="3"/>
  <c r="K53" i="3"/>
  <c r="L53" i="3"/>
  <c r="M53" i="3"/>
  <c r="G54" i="3"/>
  <c r="H54" i="3"/>
  <c r="I54" i="3"/>
  <c r="J54" i="3"/>
  <c r="K54" i="3"/>
  <c r="L54" i="3"/>
  <c r="M54" i="3"/>
  <c r="G55" i="3"/>
  <c r="H55" i="3"/>
  <c r="I55" i="3"/>
  <c r="J55" i="3"/>
  <c r="K55" i="3"/>
  <c r="L55" i="3"/>
  <c r="M55" i="3"/>
  <c r="G58" i="3"/>
  <c r="H58" i="3"/>
  <c r="I58" i="3"/>
  <c r="J58" i="3"/>
  <c r="K58" i="3"/>
  <c r="L58" i="3"/>
  <c r="M58" i="3"/>
  <c r="G59" i="3"/>
  <c r="H59" i="3"/>
  <c r="I59" i="3"/>
  <c r="J59" i="3"/>
  <c r="K59" i="3"/>
  <c r="L59" i="3"/>
  <c r="M59" i="3"/>
  <c r="G60" i="3"/>
  <c r="H60" i="3"/>
  <c r="I60" i="3"/>
  <c r="J60" i="3"/>
  <c r="K60" i="3"/>
  <c r="L60" i="3"/>
  <c r="M60" i="3"/>
  <c r="G63" i="3"/>
  <c r="H63" i="3"/>
  <c r="I63" i="3"/>
  <c r="J63" i="3"/>
  <c r="K63" i="3"/>
  <c r="L63" i="3"/>
  <c r="M63" i="3"/>
  <c r="G64" i="3"/>
  <c r="H64" i="3"/>
  <c r="I64" i="3"/>
  <c r="J64" i="3"/>
  <c r="K64" i="3"/>
  <c r="L64" i="3"/>
  <c r="M64" i="3"/>
  <c r="G65" i="3"/>
  <c r="H65" i="3"/>
  <c r="I65" i="3"/>
  <c r="J65" i="3"/>
  <c r="K65" i="3"/>
  <c r="L65" i="3"/>
  <c r="M65" i="3"/>
  <c r="G66" i="3"/>
  <c r="H66" i="3"/>
  <c r="I66" i="3"/>
  <c r="J66" i="3"/>
  <c r="K66" i="3"/>
  <c r="L66" i="3"/>
  <c r="M66" i="3"/>
  <c r="G68" i="3"/>
  <c r="H68" i="3"/>
  <c r="I68" i="3"/>
  <c r="J68" i="3"/>
  <c r="K68" i="3"/>
  <c r="L68" i="3"/>
  <c r="M68" i="3"/>
  <c r="G69" i="3"/>
  <c r="H69" i="3"/>
  <c r="I69" i="3"/>
  <c r="J69" i="3"/>
  <c r="K69" i="3"/>
  <c r="L69" i="3"/>
  <c r="M69" i="3"/>
  <c r="G70" i="3"/>
  <c r="H70" i="3"/>
  <c r="I70" i="3"/>
  <c r="J70" i="3"/>
  <c r="K70" i="3"/>
  <c r="L70" i="3"/>
  <c r="M70" i="3"/>
  <c r="G71" i="3"/>
  <c r="H71" i="3"/>
  <c r="I71" i="3"/>
  <c r="J71" i="3"/>
  <c r="K71" i="3"/>
  <c r="L71" i="3"/>
  <c r="M71" i="3"/>
  <c r="G73" i="3"/>
  <c r="H73" i="3"/>
  <c r="I73" i="3"/>
  <c r="J73" i="3"/>
  <c r="K73" i="3"/>
  <c r="L73" i="3"/>
  <c r="M73" i="3"/>
  <c r="G74" i="3"/>
  <c r="H74" i="3"/>
  <c r="I74" i="3"/>
  <c r="J74" i="3"/>
  <c r="K74" i="3"/>
  <c r="L74" i="3"/>
  <c r="M74" i="3"/>
  <c r="G81" i="3"/>
  <c r="H81" i="3"/>
  <c r="I81" i="3"/>
  <c r="J81" i="3"/>
  <c r="K81" i="3"/>
  <c r="L81" i="3"/>
  <c r="M81" i="3"/>
  <c r="G82" i="3"/>
  <c r="H82" i="3"/>
  <c r="I82" i="3"/>
  <c r="J82" i="3"/>
  <c r="K82" i="3"/>
  <c r="L82" i="3"/>
  <c r="M82" i="3"/>
  <c r="G86" i="3"/>
  <c r="H86" i="3"/>
  <c r="I86" i="3"/>
  <c r="J86" i="3"/>
  <c r="K86" i="3"/>
  <c r="L86" i="3"/>
  <c r="M86" i="3"/>
  <c r="G94" i="3"/>
  <c r="H94" i="3"/>
  <c r="I94" i="3"/>
  <c r="J94" i="3"/>
  <c r="K94" i="3"/>
  <c r="L94" i="3"/>
  <c r="M94" i="3"/>
  <c r="G96" i="3"/>
  <c r="H96" i="3"/>
  <c r="I96" i="3"/>
  <c r="J96" i="3"/>
  <c r="K96" i="3"/>
  <c r="L96" i="3"/>
  <c r="M96" i="3"/>
  <c r="G97" i="3"/>
  <c r="H97" i="3"/>
  <c r="I97" i="3"/>
  <c r="J97" i="3"/>
  <c r="K97" i="3"/>
  <c r="L97" i="3"/>
  <c r="M97" i="3"/>
  <c r="G98" i="3"/>
  <c r="H98" i="3"/>
  <c r="I98" i="3"/>
  <c r="J98" i="3"/>
  <c r="K98" i="3"/>
  <c r="L98" i="3"/>
  <c r="M98" i="3"/>
  <c r="G99" i="3"/>
  <c r="H99" i="3"/>
  <c r="I99" i="3"/>
  <c r="J99" i="3"/>
  <c r="K99" i="3"/>
  <c r="L99" i="3"/>
  <c r="M99" i="3"/>
  <c r="G100" i="3"/>
  <c r="H100" i="3"/>
  <c r="I100" i="3"/>
  <c r="J100" i="3"/>
  <c r="K100" i="3"/>
  <c r="L100" i="3"/>
  <c r="M100" i="3"/>
  <c r="G108" i="3"/>
  <c r="H108" i="3"/>
  <c r="I108" i="3"/>
  <c r="J108" i="3"/>
  <c r="K108" i="3"/>
  <c r="L108" i="3"/>
  <c r="M108" i="3"/>
  <c r="G118" i="3"/>
  <c r="H118" i="3"/>
  <c r="I118" i="3"/>
  <c r="J118" i="3"/>
  <c r="K118" i="3"/>
  <c r="L118" i="3"/>
  <c r="M118" i="3"/>
  <c r="G165" i="3"/>
  <c r="H165" i="3"/>
  <c r="I165" i="3"/>
  <c r="J165" i="3"/>
  <c r="K165" i="3"/>
  <c r="L165" i="3"/>
  <c r="M165" i="3"/>
  <c r="G166" i="3"/>
  <c r="H166" i="3"/>
  <c r="I166" i="3"/>
  <c r="J166" i="3"/>
  <c r="K166" i="3"/>
  <c r="L166" i="3"/>
  <c r="M166" i="3"/>
  <c r="G167" i="3"/>
  <c r="H167" i="3"/>
  <c r="I167" i="3"/>
  <c r="J167" i="3"/>
  <c r="K167" i="3"/>
  <c r="L167" i="3"/>
  <c r="M167" i="3"/>
  <c r="G169" i="3"/>
  <c r="H169" i="3"/>
  <c r="I169" i="3"/>
  <c r="J169" i="3"/>
  <c r="K169" i="3"/>
  <c r="L169" i="3"/>
  <c r="M169" i="3"/>
  <c r="G174" i="3"/>
  <c r="H174" i="3"/>
  <c r="I174" i="3"/>
  <c r="J174" i="3"/>
  <c r="K174" i="3"/>
  <c r="L174" i="3"/>
  <c r="M174" i="3"/>
  <c r="G175" i="3"/>
  <c r="H175" i="3"/>
  <c r="I175" i="3"/>
  <c r="J175" i="3"/>
  <c r="K175" i="3"/>
  <c r="L175" i="3"/>
  <c r="M175" i="3"/>
  <c r="G177" i="3"/>
  <c r="H177" i="3"/>
  <c r="I177" i="3"/>
  <c r="J177" i="3"/>
  <c r="K177" i="3"/>
  <c r="L177" i="3"/>
  <c r="M177" i="3"/>
  <c r="G184" i="3"/>
  <c r="H184" i="3"/>
  <c r="I184" i="3"/>
  <c r="J184" i="3"/>
  <c r="K184" i="3"/>
  <c r="L184" i="3"/>
  <c r="M184" i="3"/>
  <c r="G192" i="3"/>
  <c r="H192" i="3"/>
  <c r="I192" i="3"/>
  <c r="J192" i="3"/>
  <c r="K192" i="3"/>
  <c r="L192" i="3"/>
  <c r="M192" i="3"/>
  <c r="G197" i="3"/>
  <c r="H197" i="3"/>
  <c r="I197" i="3"/>
  <c r="J197" i="3"/>
  <c r="K197" i="3"/>
  <c r="L197" i="3"/>
  <c r="M197" i="3"/>
  <c r="G198" i="3"/>
  <c r="H198" i="3"/>
  <c r="I198" i="3"/>
  <c r="J198" i="3"/>
  <c r="K198" i="3"/>
  <c r="L198" i="3"/>
  <c r="M198" i="3"/>
  <c r="G200" i="3"/>
  <c r="H200" i="3"/>
  <c r="I200" i="3"/>
  <c r="J200" i="3"/>
  <c r="K200" i="3"/>
  <c r="L200" i="3"/>
  <c r="M200" i="3"/>
  <c r="G205" i="3"/>
  <c r="H205" i="3"/>
  <c r="I205" i="3"/>
  <c r="J205" i="3"/>
  <c r="K205" i="3"/>
  <c r="L205" i="3"/>
  <c r="M205" i="3"/>
  <c r="G206" i="3"/>
  <c r="H206" i="3"/>
  <c r="I206" i="3"/>
  <c r="J206" i="3"/>
  <c r="K206" i="3"/>
  <c r="L206" i="3"/>
  <c r="M206" i="3"/>
  <c r="G208" i="3"/>
  <c r="H208" i="3"/>
  <c r="I208" i="3"/>
  <c r="J208" i="3"/>
  <c r="K208" i="3"/>
  <c r="L208" i="3"/>
  <c r="M208" i="3"/>
  <c r="G215" i="3"/>
  <c r="H215" i="3"/>
  <c r="I215" i="3"/>
  <c r="J215" i="3"/>
  <c r="K215" i="3"/>
  <c r="L215" i="3"/>
  <c r="M215" i="3"/>
  <c r="G222" i="3"/>
  <c r="H222" i="3"/>
  <c r="I222" i="3"/>
  <c r="J222" i="3"/>
  <c r="K222" i="3"/>
  <c r="L222" i="3"/>
  <c r="M222" i="3"/>
  <c r="G223" i="3"/>
  <c r="H223" i="3"/>
  <c r="I223" i="3"/>
  <c r="J223" i="3"/>
  <c r="K223" i="3"/>
  <c r="L223" i="3"/>
  <c r="M223" i="3"/>
  <c r="G224" i="3"/>
  <c r="H224" i="3"/>
  <c r="I224" i="3"/>
  <c r="J224" i="3"/>
  <c r="K224" i="3"/>
  <c r="L224" i="3"/>
  <c r="M224" i="3"/>
  <c r="G230" i="3"/>
  <c r="H230" i="3"/>
  <c r="I230" i="3"/>
  <c r="J230" i="3"/>
  <c r="K230" i="3"/>
  <c r="L230" i="3"/>
  <c r="M230" i="3"/>
  <c r="G231" i="3"/>
  <c r="H231" i="3"/>
  <c r="I231" i="3"/>
  <c r="J231" i="3"/>
  <c r="K231" i="3"/>
  <c r="L231" i="3"/>
  <c r="M231" i="3"/>
  <c r="G232" i="3"/>
  <c r="H232" i="3"/>
  <c r="I232" i="3"/>
  <c r="J232" i="3"/>
  <c r="K232" i="3"/>
  <c r="L232" i="3"/>
  <c r="M232" i="3"/>
  <c r="G233" i="3"/>
  <c r="H233" i="3"/>
  <c r="I233" i="3"/>
  <c r="J233" i="3"/>
  <c r="K233" i="3"/>
  <c r="L233" i="3"/>
  <c r="M233" i="3"/>
  <c r="G234" i="3"/>
  <c r="H234" i="3"/>
  <c r="I234" i="3"/>
  <c r="J234" i="3"/>
  <c r="K234" i="3"/>
  <c r="L234" i="3"/>
  <c r="M234" i="3"/>
  <c r="G237" i="3"/>
  <c r="H237" i="3"/>
  <c r="I237" i="3"/>
  <c r="J237" i="3"/>
  <c r="K237" i="3"/>
  <c r="L237" i="3"/>
  <c r="M237" i="3"/>
  <c r="G238" i="3"/>
  <c r="H238" i="3"/>
  <c r="I238" i="3"/>
  <c r="J238" i="3"/>
  <c r="K238" i="3"/>
  <c r="L238" i="3"/>
  <c r="M238" i="3"/>
  <c r="G239" i="3"/>
  <c r="H239" i="3"/>
  <c r="I239" i="3"/>
  <c r="J239" i="3"/>
  <c r="K239" i="3"/>
  <c r="L239" i="3"/>
  <c r="M239" i="3"/>
  <c r="G247" i="3"/>
  <c r="H247" i="3"/>
  <c r="I247" i="3"/>
  <c r="J247" i="3"/>
  <c r="K247" i="3"/>
  <c r="L247" i="3"/>
  <c r="M247" i="3"/>
  <c r="G265" i="3"/>
  <c r="H265" i="3"/>
  <c r="I265" i="3"/>
  <c r="J265" i="3"/>
  <c r="K265" i="3"/>
  <c r="L265" i="3"/>
  <c r="M265" i="3"/>
  <c r="G266" i="3"/>
  <c r="H266" i="3"/>
  <c r="I266" i="3"/>
  <c r="J266" i="3"/>
  <c r="K266" i="3"/>
  <c r="L266" i="3"/>
  <c r="M266" i="3"/>
  <c r="G267" i="3"/>
  <c r="H267" i="3"/>
  <c r="I267" i="3"/>
  <c r="J267" i="3"/>
  <c r="K267" i="3"/>
  <c r="L267" i="3"/>
  <c r="M267" i="3"/>
  <c r="G276" i="3"/>
  <c r="H276" i="3"/>
  <c r="I276" i="3"/>
  <c r="J276" i="3"/>
  <c r="K276" i="3"/>
  <c r="L276" i="3"/>
  <c r="M276" i="3"/>
  <c r="G277" i="3"/>
  <c r="H277" i="3"/>
  <c r="I277" i="3"/>
  <c r="J277" i="3"/>
  <c r="K277" i="3"/>
  <c r="L277" i="3"/>
  <c r="M277" i="3"/>
  <c r="G282" i="3"/>
  <c r="H282" i="3"/>
  <c r="I282" i="3"/>
  <c r="J282" i="3"/>
  <c r="K282" i="3"/>
  <c r="L282" i="3"/>
  <c r="M282" i="3"/>
  <c r="G283" i="3"/>
  <c r="H283" i="3"/>
  <c r="I283" i="3"/>
  <c r="J283" i="3"/>
  <c r="K283" i="3"/>
  <c r="L283" i="3"/>
  <c r="M283" i="3"/>
  <c r="G284" i="3"/>
  <c r="H284" i="3"/>
  <c r="I284" i="3"/>
  <c r="J284" i="3"/>
  <c r="K284" i="3"/>
  <c r="L284" i="3"/>
  <c r="M284" i="3"/>
  <c r="G285" i="3"/>
  <c r="H285" i="3"/>
  <c r="I285" i="3"/>
  <c r="J285" i="3"/>
  <c r="K285" i="3"/>
  <c r="L285" i="3"/>
  <c r="M285" i="3"/>
  <c r="G289" i="3"/>
  <c r="H289" i="3"/>
  <c r="I289" i="3"/>
  <c r="J289" i="3"/>
  <c r="K289" i="3"/>
  <c r="L289" i="3"/>
  <c r="M289" i="3"/>
  <c r="G290" i="3"/>
  <c r="H290" i="3"/>
  <c r="I290" i="3"/>
  <c r="J290" i="3"/>
  <c r="K290" i="3"/>
  <c r="L290" i="3"/>
  <c r="M290" i="3"/>
  <c r="G291" i="3"/>
  <c r="H291" i="3"/>
  <c r="I291" i="3"/>
  <c r="J291" i="3"/>
  <c r="K291" i="3"/>
  <c r="L291" i="3"/>
  <c r="M291" i="3"/>
  <c r="G292" i="3"/>
  <c r="H292" i="3"/>
  <c r="I292" i="3"/>
  <c r="J292" i="3"/>
  <c r="K292" i="3"/>
  <c r="L292" i="3"/>
  <c r="M292" i="3"/>
  <c r="G293" i="3"/>
  <c r="H293" i="3"/>
  <c r="I293" i="3"/>
  <c r="J293" i="3"/>
  <c r="K293" i="3"/>
  <c r="L293" i="3"/>
  <c r="M293" i="3"/>
  <c r="G294" i="3"/>
  <c r="H294" i="3"/>
  <c r="I294" i="3"/>
  <c r="J294" i="3"/>
  <c r="K294" i="3"/>
  <c r="L294" i="3"/>
  <c r="M294" i="3"/>
  <c r="G295" i="3"/>
  <c r="H295" i="3"/>
  <c r="I295" i="3"/>
  <c r="J295" i="3"/>
  <c r="K295" i="3"/>
  <c r="L295" i="3"/>
  <c r="M295" i="3"/>
  <c r="G302" i="3"/>
  <c r="H302" i="3"/>
  <c r="I302" i="3"/>
  <c r="J302" i="3"/>
  <c r="K302" i="3"/>
  <c r="L302" i="3"/>
  <c r="M302" i="3"/>
  <c r="G303" i="3"/>
  <c r="H303" i="3"/>
  <c r="I303" i="3"/>
  <c r="J303" i="3"/>
  <c r="K303" i="3"/>
  <c r="L303" i="3"/>
  <c r="M303" i="3"/>
  <c r="G304" i="3"/>
  <c r="H304" i="3"/>
  <c r="I304" i="3"/>
  <c r="J304" i="3"/>
  <c r="K304" i="3"/>
  <c r="L304" i="3"/>
  <c r="M304" i="3"/>
  <c r="G308" i="3"/>
  <c r="H308" i="3"/>
  <c r="I308" i="3"/>
  <c r="J308" i="3"/>
  <c r="K308" i="3"/>
  <c r="L308" i="3"/>
  <c r="M308" i="3"/>
  <c r="G309" i="3"/>
  <c r="H309" i="3"/>
  <c r="I309" i="3"/>
  <c r="J309" i="3"/>
  <c r="K309" i="3"/>
  <c r="L309" i="3"/>
  <c r="M309" i="3"/>
  <c r="G310" i="3"/>
  <c r="H310" i="3"/>
  <c r="I310" i="3"/>
  <c r="J310" i="3"/>
  <c r="K310" i="3"/>
  <c r="L310" i="3"/>
  <c r="M310" i="3"/>
  <c r="G311" i="3"/>
  <c r="H311" i="3"/>
  <c r="I311" i="3"/>
  <c r="J311" i="3"/>
  <c r="K311" i="3"/>
  <c r="L311" i="3"/>
  <c r="M311" i="3"/>
  <c r="G312" i="3"/>
  <c r="H312" i="3"/>
  <c r="I312" i="3"/>
  <c r="J312" i="3"/>
  <c r="K312" i="3"/>
  <c r="L312" i="3"/>
  <c r="M312" i="3"/>
  <c r="G313" i="3"/>
  <c r="H313" i="3"/>
  <c r="I313" i="3"/>
  <c r="J313" i="3"/>
  <c r="K313" i="3"/>
  <c r="L313" i="3"/>
  <c r="M313" i="3"/>
  <c r="G316" i="3"/>
  <c r="H316" i="3"/>
  <c r="I316" i="3"/>
  <c r="J316" i="3"/>
  <c r="K316" i="3"/>
  <c r="L316" i="3"/>
  <c r="M316" i="3"/>
  <c r="G319" i="3"/>
  <c r="H319" i="3"/>
  <c r="I319" i="3"/>
  <c r="J319" i="3"/>
  <c r="K319" i="3"/>
  <c r="L319" i="3"/>
  <c r="M319" i="3"/>
  <c r="G320" i="3"/>
  <c r="H320" i="3"/>
  <c r="I320" i="3"/>
  <c r="J320" i="3"/>
  <c r="K320" i="3"/>
  <c r="L320" i="3"/>
  <c r="M320" i="3"/>
  <c r="G322" i="3"/>
  <c r="H322" i="3"/>
  <c r="I322" i="3"/>
  <c r="J322" i="3"/>
  <c r="K322" i="3"/>
  <c r="L322" i="3"/>
  <c r="M322" i="3"/>
  <c r="G325" i="3"/>
  <c r="H325" i="3"/>
  <c r="I325" i="3"/>
  <c r="J325" i="3"/>
  <c r="K325" i="3"/>
  <c r="L325" i="3"/>
  <c r="M325" i="3"/>
  <c r="G326" i="3"/>
  <c r="H326" i="3"/>
  <c r="I326" i="3"/>
  <c r="J326" i="3"/>
  <c r="K326" i="3"/>
  <c r="L326" i="3"/>
  <c r="M326" i="3"/>
  <c r="G328" i="3"/>
  <c r="H328" i="3"/>
  <c r="I328" i="3"/>
  <c r="J328" i="3"/>
  <c r="K328" i="3"/>
  <c r="L328" i="3"/>
  <c r="M328" i="3"/>
  <c r="G331" i="3"/>
  <c r="H331" i="3"/>
  <c r="I331" i="3"/>
  <c r="J331" i="3"/>
  <c r="K331" i="3"/>
  <c r="L331" i="3"/>
  <c r="M331" i="3"/>
  <c r="G332" i="3"/>
  <c r="H332" i="3"/>
  <c r="I332" i="3"/>
  <c r="J332" i="3"/>
  <c r="K332" i="3"/>
  <c r="L332" i="3"/>
  <c r="M332" i="3"/>
  <c r="G340" i="3"/>
  <c r="H340" i="3"/>
  <c r="I340" i="3"/>
  <c r="J340" i="3"/>
  <c r="K340" i="3"/>
  <c r="L340" i="3"/>
  <c r="M340" i="3"/>
  <c r="G342" i="3"/>
  <c r="H342" i="3"/>
  <c r="I342" i="3"/>
  <c r="J342" i="3"/>
  <c r="K342" i="3"/>
  <c r="L342" i="3"/>
  <c r="M342" i="3"/>
  <c r="G348" i="3"/>
  <c r="H348" i="3"/>
  <c r="I348" i="3"/>
  <c r="J348" i="3"/>
  <c r="K348" i="3"/>
  <c r="L348" i="3"/>
  <c r="M348" i="3"/>
  <c r="G354" i="3"/>
  <c r="H354" i="3"/>
  <c r="I354" i="3"/>
  <c r="J354" i="3"/>
  <c r="K354" i="3"/>
  <c r="L354" i="3"/>
  <c r="M354" i="3"/>
  <c r="G355" i="3"/>
  <c r="H355" i="3"/>
  <c r="I355" i="3"/>
  <c r="J355" i="3"/>
  <c r="K355" i="3"/>
  <c r="L355" i="3"/>
  <c r="M355" i="3"/>
  <c r="G356" i="3"/>
  <c r="H356" i="3"/>
  <c r="I356" i="3"/>
  <c r="J356" i="3"/>
  <c r="K356" i="3"/>
  <c r="L356" i="3"/>
  <c r="M356" i="3"/>
  <c r="G357" i="3"/>
  <c r="H357" i="3"/>
  <c r="I357" i="3"/>
  <c r="J357" i="3"/>
  <c r="K357" i="3"/>
  <c r="L357" i="3"/>
  <c r="M357" i="3"/>
  <c r="G358" i="3"/>
  <c r="H358" i="3"/>
  <c r="I358" i="3"/>
  <c r="J358" i="3"/>
  <c r="K358" i="3"/>
  <c r="L358" i="3"/>
  <c r="M358" i="3"/>
  <c r="G361" i="3"/>
  <c r="H361" i="3"/>
  <c r="I361" i="3"/>
  <c r="J361" i="3"/>
  <c r="K361" i="3"/>
  <c r="L361" i="3"/>
  <c r="M361" i="3"/>
  <c r="G362" i="3"/>
  <c r="H362" i="3"/>
  <c r="I362" i="3"/>
  <c r="J362" i="3"/>
  <c r="K362" i="3"/>
  <c r="L362" i="3"/>
  <c r="M362" i="3"/>
  <c r="G363" i="3"/>
  <c r="H363" i="3"/>
  <c r="I363" i="3"/>
  <c r="J363" i="3"/>
  <c r="K363" i="3"/>
  <c r="L363" i="3"/>
  <c r="M363" i="3"/>
  <c r="G365" i="3"/>
  <c r="H365" i="3"/>
  <c r="I365" i="3"/>
  <c r="J365" i="3"/>
  <c r="K365" i="3"/>
  <c r="L365" i="3"/>
  <c r="M365" i="3"/>
  <c r="G367" i="3"/>
  <c r="H367" i="3"/>
  <c r="I367" i="3"/>
  <c r="J367" i="3"/>
  <c r="K367" i="3"/>
  <c r="L367" i="3"/>
  <c r="M367" i="3"/>
  <c r="G368" i="3"/>
  <c r="H368" i="3"/>
  <c r="I368" i="3"/>
  <c r="J368" i="3"/>
  <c r="K368" i="3"/>
  <c r="L368" i="3"/>
  <c r="M368" i="3"/>
  <c r="G370" i="3"/>
  <c r="H370" i="3"/>
  <c r="I370" i="3"/>
  <c r="J370" i="3"/>
  <c r="K370" i="3"/>
  <c r="L370" i="3"/>
  <c r="M370" i="3"/>
  <c r="G371" i="3"/>
  <c r="H371" i="3"/>
  <c r="I371" i="3"/>
  <c r="J371" i="3"/>
  <c r="K371" i="3"/>
  <c r="L371" i="3"/>
  <c r="M371" i="3"/>
  <c r="G375" i="3"/>
  <c r="H375" i="3"/>
  <c r="I375" i="3"/>
  <c r="J375" i="3"/>
  <c r="K375" i="3"/>
  <c r="L375" i="3"/>
  <c r="M375" i="3"/>
  <c r="G376" i="3"/>
  <c r="H376" i="3"/>
  <c r="I376" i="3"/>
  <c r="J376" i="3"/>
  <c r="K376" i="3"/>
  <c r="L376" i="3"/>
  <c r="M376" i="3"/>
  <c r="G377" i="3"/>
  <c r="H377" i="3"/>
  <c r="I377" i="3"/>
  <c r="J377" i="3"/>
  <c r="K377" i="3"/>
  <c r="L377" i="3"/>
  <c r="M377" i="3"/>
  <c r="G380" i="3"/>
  <c r="H380" i="3"/>
  <c r="I380" i="3"/>
  <c r="J380" i="3"/>
  <c r="K380" i="3"/>
  <c r="L380" i="3"/>
  <c r="M380" i="3"/>
  <c r="G382" i="3"/>
  <c r="H382" i="3"/>
  <c r="I382" i="3"/>
  <c r="J382" i="3"/>
  <c r="K382" i="3"/>
  <c r="L382" i="3"/>
  <c r="M382" i="3"/>
  <c r="G384" i="3"/>
  <c r="H384" i="3"/>
  <c r="I384" i="3"/>
  <c r="J384" i="3"/>
  <c r="K384" i="3"/>
  <c r="L384" i="3"/>
  <c r="M384" i="3"/>
  <c r="G386" i="3"/>
  <c r="H386" i="3"/>
  <c r="I386" i="3"/>
  <c r="J386" i="3"/>
  <c r="K386" i="3"/>
  <c r="L386" i="3"/>
  <c r="M386" i="3"/>
  <c r="G387" i="3"/>
  <c r="H387" i="3"/>
  <c r="I387" i="3"/>
  <c r="J387" i="3"/>
  <c r="K387" i="3"/>
  <c r="L387" i="3"/>
  <c r="M387" i="3"/>
  <c r="G388" i="3"/>
  <c r="H388" i="3"/>
  <c r="I388" i="3"/>
  <c r="J388" i="3"/>
  <c r="K388" i="3"/>
  <c r="L388" i="3"/>
  <c r="M388" i="3"/>
  <c r="G393" i="3"/>
  <c r="H393" i="3"/>
  <c r="I393" i="3"/>
  <c r="J393" i="3"/>
  <c r="K393" i="3"/>
  <c r="L393" i="3"/>
  <c r="M393" i="3"/>
  <c r="G394" i="3"/>
  <c r="H394" i="3"/>
  <c r="I394" i="3"/>
  <c r="J394" i="3"/>
  <c r="K394" i="3"/>
  <c r="L394" i="3"/>
  <c r="M394" i="3"/>
  <c r="G398" i="3"/>
  <c r="H398" i="3"/>
  <c r="I398" i="3"/>
  <c r="J398" i="3"/>
  <c r="K398" i="3"/>
  <c r="L398" i="3"/>
  <c r="M398" i="3"/>
  <c r="G402" i="3"/>
  <c r="H402" i="3"/>
  <c r="I402" i="3"/>
  <c r="J402" i="3"/>
  <c r="K402" i="3"/>
  <c r="L402" i="3"/>
  <c r="M402" i="3"/>
  <c r="G403" i="3"/>
  <c r="H403" i="3"/>
  <c r="I403" i="3"/>
  <c r="J403" i="3"/>
  <c r="K403" i="3"/>
  <c r="L403" i="3"/>
  <c r="M403" i="3"/>
  <c r="G406" i="3"/>
  <c r="H406" i="3"/>
  <c r="I406" i="3"/>
  <c r="J406" i="3"/>
  <c r="K406" i="3"/>
  <c r="L406" i="3"/>
  <c r="M406" i="3"/>
  <c r="G407" i="3"/>
  <c r="H407" i="3"/>
  <c r="I407" i="3"/>
  <c r="J407" i="3"/>
  <c r="K407" i="3"/>
  <c r="L407" i="3"/>
  <c r="M407" i="3"/>
  <c r="G408" i="3"/>
  <c r="H408" i="3"/>
  <c r="I408" i="3"/>
  <c r="J408" i="3"/>
  <c r="K408" i="3"/>
  <c r="L408" i="3"/>
  <c r="M408" i="3"/>
  <c r="G409" i="3"/>
  <c r="H409" i="3"/>
  <c r="I409" i="3"/>
  <c r="J409" i="3"/>
  <c r="K409" i="3"/>
  <c r="L409" i="3"/>
  <c r="M409" i="3"/>
  <c r="G410" i="3"/>
  <c r="H410" i="3"/>
  <c r="I410" i="3"/>
  <c r="J410" i="3"/>
  <c r="K410" i="3"/>
  <c r="L410" i="3"/>
  <c r="M410" i="3"/>
  <c r="G411" i="3"/>
  <c r="H411" i="3"/>
  <c r="I411" i="3"/>
  <c r="J411" i="3"/>
  <c r="K411" i="3"/>
  <c r="L411" i="3"/>
  <c r="M411" i="3"/>
  <c r="G412" i="3"/>
  <c r="H412" i="3"/>
  <c r="I412" i="3"/>
  <c r="J412" i="3"/>
  <c r="K412" i="3"/>
  <c r="L412" i="3"/>
  <c r="M412" i="3"/>
  <c r="G415" i="3"/>
  <c r="H415" i="3"/>
  <c r="I415" i="3"/>
  <c r="J415" i="3"/>
  <c r="K415" i="3"/>
  <c r="L415" i="3"/>
  <c r="M415" i="3"/>
  <c r="G416" i="3"/>
  <c r="H416" i="3"/>
  <c r="I416" i="3"/>
  <c r="J416" i="3"/>
  <c r="K416" i="3"/>
  <c r="L416" i="3"/>
  <c r="M416" i="3"/>
  <c r="G417" i="3"/>
  <c r="H417" i="3"/>
  <c r="I417" i="3"/>
  <c r="J417" i="3"/>
  <c r="K417" i="3"/>
  <c r="L417" i="3"/>
  <c r="M417" i="3"/>
  <c r="G423" i="3"/>
  <c r="H423" i="3"/>
  <c r="I423" i="3"/>
  <c r="J423" i="3"/>
  <c r="K423" i="3"/>
  <c r="L423" i="3"/>
  <c r="M423" i="3"/>
  <c r="G431" i="3"/>
  <c r="H431" i="3"/>
  <c r="I431" i="3"/>
  <c r="J431" i="3"/>
  <c r="K431" i="3"/>
  <c r="L431" i="3"/>
  <c r="M431" i="3"/>
  <c r="G432" i="3"/>
  <c r="H432" i="3"/>
  <c r="I432" i="3"/>
  <c r="J432" i="3"/>
  <c r="K432" i="3"/>
  <c r="L432" i="3"/>
  <c r="M432" i="3"/>
  <c r="G434" i="3"/>
  <c r="H434" i="3"/>
  <c r="I434" i="3"/>
  <c r="J434" i="3"/>
  <c r="K434" i="3"/>
  <c r="L434" i="3"/>
  <c r="M434" i="3"/>
  <c r="G435" i="3"/>
  <c r="H435" i="3"/>
  <c r="I435" i="3"/>
  <c r="J435" i="3"/>
  <c r="K435" i="3"/>
  <c r="L435" i="3"/>
  <c r="M435" i="3"/>
  <c r="G436" i="3"/>
  <c r="H436" i="3"/>
  <c r="I436" i="3"/>
  <c r="J436" i="3"/>
  <c r="K436" i="3"/>
  <c r="L436" i="3"/>
  <c r="M436" i="3"/>
  <c r="G437" i="3"/>
  <c r="H437" i="3"/>
  <c r="I437" i="3"/>
  <c r="J437" i="3"/>
  <c r="K437" i="3"/>
  <c r="L437" i="3"/>
  <c r="M437" i="3"/>
  <c r="G438" i="3"/>
  <c r="H438" i="3"/>
  <c r="I438" i="3"/>
  <c r="J438" i="3"/>
  <c r="K438" i="3"/>
  <c r="L438" i="3"/>
  <c r="M438" i="3"/>
  <c r="G444" i="3"/>
  <c r="H444" i="3"/>
  <c r="I444" i="3"/>
  <c r="J444" i="3"/>
  <c r="K444" i="3"/>
  <c r="L444" i="3"/>
  <c r="M444" i="3"/>
  <c r="G445" i="3"/>
  <c r="H445" i="3"/>
  <c r="I445" i="3"/>
  <c r="J445" i="3"/>
  <c r="K445" i="3"/>
  <c r="L445" i="3"/>
  <c r="M445" i="3"/>
  <c r="G446" i="3"/>
  <c r="H446" i="3"/>
  <c r="I446" i="3"/>
  <c r="J446" i="3"/>
  <c r="K446" i="3"/>
  <c r="L446" i="3"/>
  <c r="M446" i="3"/>
  <c r="G448" i="3"/>
  <c r="H448" i="3"/>
  <c r="I448" i="3"/>
  <c r="J448" i="3"/>
  <c r="K448" i="3"/>
  <c r="L448" i="3"/>
  <c r="M448" i="3"/>
  <c r="G452" i="3"/>
  <c r="H452" i="3"/>
  <c r="I452" i="3"/>
  <c r="J452" i="3"/>
  <c r="K452" i="3"/>
  <c r="L452" i="3"/>
  <c r="M452" i="3"/>
  <c r="G454" i="3"/>
  <c r="H454" i="3"/>
  <c r="I454" i="3"/>
  <c r="J454" i="3"/>
  <c r="K454" i="3"/>
  <c r="L454" i="3"/>
  <c r="M454" i="3"/>
  <c r="G458" i="3"/>
  <c r="H458" i="3"/>
  <c r="I458" i="3"/>
  <c r="J458" i="3"/>
  <c r="K458" i="3"/>
  <c r="L458" i="3"/>
  <c r="M458" i="3"/>
  <c r="G460" i="3"/>
  <c r="H460" i="3"/>
  <c r="I460" i="3"/>
  <c r="J460" i="3"/>
  <c r="K460" i="3"/>
  <c r="L460" i="3"/>
  <c r="M460" i="3"/>
  <c r="G461" i="3"/>
  <c r="H461" i="3"/>
  <c r="I461" i="3"/>
  <c r="J461" i="3"/>
  <c r="K461" i="3"/>
  <c r="L461" i="3"/>
  <c r="M461" i="3"/>
  <c r="G462" i="3"/>
  <c r="H462" i="3"/>
  <c r="I462" i="3"/>
  <c r="J462" i="3"/>
  <c r="K462" i="3"/>
  <c r="L462" i="3"/>
  <c r="M462" i="3"/>
  <c r="G465" i="3"/>
  <c r="H465" i="3"/>
  <c r="I465" i="3"/>
  <c r="J465" i="3"/>
  <c r="K465" i="3"/>
  <c r="L465" i="3"/>
  <c r="M465" i="3"/>
  <c r="G466" i="3"/>
  <c r="H466" i="3"/>
  <c r="I466" i="3"/>
  <c r="J466" i="3"/>
  <c r="K466" i="3"/>
  <c r="L466" i="3"/>
  <c r="M466" i="3"/>
  <c r="G467" i="3"/>
  <c r="H467" i="3"/>
  <c r="I467" i="3"/>
  <c r="J467" i="3"/>
  <c r="K467" i="3"/>
  <c r="L467" i="3"/>
  <c r="M467" i="3"/>
  <c r="G468" i="3"/>
  <c r="H468" i="3"/>
  <c r="I468" i="3"/>
  <c r="J468" i="3"/>
  <c r="K468" i="3"/>
  <c r="L468" i="3"/>
  <c r="M468" i="3"/>
  <c r="G474" i="3"/>
  <c r="H474" i="3"/>
  <c r="I474" i="3"/>
  <c r="J474" i="3"/>
  <c r="K474" i="3"/>
  <c r="L474" i="3"/>
  <c r="M474" i="3"/>
  <c r="G478" i="3"/>
  <c r="H478" i="3"/>
  <c r="I478" i="3"/>
  <c r="J478" i="3"/>
  <c r="K478" i="3"/>
  <c r="L478" i="3"/>
  <c r="M478" i="3"/>
  <c r="G479" i="3"/>
  <c r="H479" i="3"/>
  <c r="I479" i="3"/>
  <c r="J479" i="3"/>
  <c r="K479" i="3"/>
  <c r="L479" i="3"/>
  <c r="M479" i="3"/>
  <c r="G481" i="3"/>
  <c r="H481" i="3"/>
  <c r="I481" i="3"/>
  <c r="J481" i="3"/>
  <c r="K481" i="3"/>
  <c r="L481" i="3"/>
  <c r="M481" i="3"/>
  <c r="G482" i="3"/>
  <c r="H482" i="3"/>
  <c r="I482" i="3"/>
  <c r="J482" i="3"/>
  <c r="K482" i="3"/>
  <c r="L482" i="3"/>
  <c r="M482" i="3"/>
  <c r="G483" i="3"/>
  <c r="H483" i="3"/>
  <c r="I483" i="3"/>
  <c r="J483" i="3"/>
  <c r="K483" i="3"/>
  <c r="L483" i="3"/>
  <c r="M483" i="3"/>
  <c r="G484" i="3"/>
  <c r="H484" i="3"/>
  <c r="I484" i="3"/>
  <c r="J484" i="3"/>
  <c r="K484" i="3"/>
  <c r="L484" i="3"/>
  <c r="M484" i="3"/>
  <c r="G485" i="3"/>
  <c r="H485" i="3"/>
  <c r="I485" i="3"/>
  <c r="J485" i="3"/>
  <c r="K485" i="3"/>
  <c r="L485" i="3"/>
  <c r="M485" i="3"/>
  <c r="G490" i="3"/>
  <c r="H490" i="3"/>
  <c r="I490" i="3"/>
  <c r="J490" i="3"/>
  <c r="K490" i="3"/>
  <c r="L490" i="3"/>
  <c r="M490" i="3"/>
  <c r="G491" i="3"/>
  <c r="H491" i="3"/>
  <c r="I491" i="3"/>
  <c r="J491" i="3"/>
  <c r="K491" i="3"/>
  <c r="L491" i="3"/>
  <c r="M491" i="3"/>
  <c r="G492" i="3"/>
  <c r="H492" i="3"/>
  <c r="I492" i="3"/>
  <c r="J492" i="3"/>
  <c r="K492" i="3"/>
  <c r="L492" i="3"/>
  <c r="M492" i="3"/>
  <c r="G493" i="3"/>
  <c r="H493" i="3"/>
  <c r="I493" i="3"/>
  <c r="J493" i="3"/>
  <c r="K493" i="3"/>
  <c r="L493" i="3"/>
  <c r="M493" i="3"/>
  <c r="G494" i="3"/>
  <c r="H494" i="3"/>
  <c r="I494" i="3"/>
  <c r="J494" i="3"/>
  <c r="K494" i="3"/>
  <c r="L494" i="3"/>
  <c r="M494" i="3"/>
  <c r="G495" i="3"/>
  <c r="H495" i="3"/>
  <c r="I495" i="3"/>
  <c r="J495" i="3"/>
  <c r="K495" i="3"/>
  <c r="L495" i="3"/>
  <c r="M495" i="3"/>
  <c r="G496" i="3"/>
  <c r="H496" i="3"/>
  <c r="I496" i="3"/>
  <c r="J496" i="3"/>
  <c r="K496" i="3"/>
  <c r="L496" i="3"/>
  <c r="M496" i="3"/>
  <c r="G497" i="3"/>
  <c r="H497" i="3"/>
  <c r="I497" i="3"/>
  <c r="J497" i="3"/>
  <c r="K497" i="3"/>
  <c r="L497" i="3"/>
  <c r="M497" i="3"/>
  <c r="G498" i="3"/>
  <c r="H498" i="3"/>
  <c r="I498" i="3"/>
  <c r="J498" i="3"/>
  <c r="K498" i="3"/>
  <c r="L498" i="3"/>
  <c r="M498" i="3"/>
  <c r="G499" i="3"/>
  <c r="H499" i="3"/>
  <c r="I499" i="3"/>
  <c r="J499" i="3"/>
  <c r="K499" i="3"/>
  <c r="L499" i="3"/>
  <c r="M499" i="3"/>
  <c r="G500" i="3"/>
  <c r="H500" i="3"/>
  <c r="I500" i="3"/>
  <c r="J500" i="3"/>
  <c r="K500" i="3"/>
  <c r="L500" i="3"/>
  <c r="M500" i="3"/>
  <c r="G501" i="3"/>
  <c r="H501" i="3"/>
  <c r="I501" i="3"/>
  <c r="J501" i="3"/>
  <c r="K501" i="3"/>
  <c r="L501" i="3"/>
  <c r="M501" i="3"/>
  <c r="G502" i="3"/>
  <c r="H502" i="3"/>
  <c r="I502" i="3"/>
  <c r="J502" i="3"/>
  <c r="K502" i="3"/>
  <c r="L502" i="3"/>
  <c r="M502" i="3"/>
  <c r="G503" i="3"/>
  <c r="H503" i="3"/>
  <c r="I503" i="3"/>
  <c r="J503" i="3"/>
  <c r="K503" i="3"/>
  <c r="L503" i="3"/>
  <c r="M503" i="3"/>
  <c r="G511" i="3"/>
  <c r="H511" i="3"/>
  <c r="I511" i="3"/>
  <c r="J511" i="3"/>
  <c r="K511" i="3"/>
  <c r="L511" i="3"/>
  <c r="M511" i="3"/>
  <c r="G521" i="3"/>
  <c r="H521" i="3"/>
  <c r="I521" i="3"/>
  <c r="J521" i="3"/>
  <c r="K521" i="3"/>
  <c r="L521" i="3"/>
  <c r="M521" i="3"/>
  <c r="G523" i="3"/>
  <c r="H523" i="3"/>
  <c r="I523" i="3"/>
  <c r="J523" i="3"/>
  <c r="K523" i="3"/>
  <c r="L523" i="3"/>
  <c r="M523" i="3"/>
  <c r="G528" i="3"/>
  <c r="H528" i="3"/>
  <c r="I528" i="3"/>
  <c r="J528" i="3"/>
  <c r="K528" i="3"/>
  <c r="L528" i="3"/>
  <c r="M528" i="3"/>
  <c r="G529" i="3"/>
  <c r="H529" i="3"/>
  <c r="I529" i="3"/>
  <c r="J529" i="3"/>
  <c r="K529" i="3"/>
  <c r="L529" i="3"/>
  <c r="M529" i="3"/>
  <c r="G531" i="3"/>
  <c r="H531" i="3"/>
  <c r="I531" i="3"/>
  <c r="J531" i="3"/>
  <c r="K531" i="3"/>
  <c r="L531" i="3"/>
  <c r="M531" i="3"/>
  <c r="G532" i="3"/>
  <c r="H532" i="3"/>
  <c r="I532" i="3"/>
  <c r="J532" i="3"/>
  <c r="K532" i="3"/>
  <c r="L532" i="3"/>
  <c r="M532" i="3"/>
  <c r="G16" i="49"/>
  <c r="H16" i="49"/>
  <c r="I16" i="49"/>
  <c r="J16" i="49"/>
  <c r="K16" i="49"/>
  <c r="L16" i="49"/>
  <c r="M16" i="49"/>
  <c r="G17" i="49"/>
  <c r="H17" i="49"/>
  <c r="I17" i="49"/>
  <c r="J17" i="49"/>
  <c r="K17" i="49"/>
  <c r="L17" i="49"/>
  <c r="M17" i="49"/>
  <c r="G18" i="49"/>
  <c r="H18" i="49"/>
  <c r="I18" i="49"/>
  <c r="J18" i="49"/>
  <c r="K18" i="49"/>
  <c r="L18" i="49"/>
  <c r="M18" i="49"/>
  <c r="G27" i="55"/>
  <c r="H27" i="55"/>
  <c r="I27" i="55"/>
  <c r="J27" i="55"/>
  <c r="K27" i="55"/>
  <c r="L27" i="55"/>
  <c r="M27" i="55"/>
  <c r="G28" i="55"/>
  <c r="H28" i="55"/>
  <c r="I28" i="55"/>
  <c r="J28" i="55"/>
  <c r="K28" i="55"/>
  <c r="L28" i="55"/>
  <c r="M28" i="55"/>
  <c r="G29" i="55"/>
  <c r="H29" i="55"/>
  <c r="I29" i="55"/>
  <c r="J29" i="55"/>
  <c r="K29" i="55"/>
  <c r="L29" i="55"/>
  <c r="M29" i="55"/>
  <c r="G30" i="55"/>
  <c r="H30" i="55"/>
  <c r="I30" i="55"/>
  <c r="J30" i="55"/>
  <c r="K30" i="55"/>
  <c r="L30" i="55"/>
  <c r="M30" i="55"/>
  <c r="G31" i="55"/>
  <c r="H31" i="55"/>
  <c r="I31" i="55"/>
  <c r="J31" i="55"/>
  <c r="K31" i="55"/>
  <c r="L31" i="55"/>
  <c r="M31" i="55"/>
  <c r="G32" i="55"/>
  <c r="H32" i="55"/>
  <c r="I32" i="55"/>
  <c r="J32" i="55"/>
  <c r="K32" i="55"/>
  <c r="L32" i="55"/>
  <c r="M32" i="55"/>
  <c r="G33" i="55"/>
  <c r="H33" i="55"/>
  <c r="I33" i="55"/>
  <c r="J33" i="55"/>
  <c r="K33" i="55"/>
  <c r="L33" i="55"/>
  <c r="M33" i="55"/>
  <c r="G34" i="55"/>
  <c r="H34" i="55"/>
  <c r="I34" i="55"/>
  <c r="J34" i="55"/>
  <c r="K34" i="55"/>
  <c r="L34" i="55"/>
  <c r="M34" i="55"/>
  <c r="G35" i="55"/>
  <c r="H35" i="55"/>
  <c r="I35" i="55"/>
  <c r="J35" i="55"/>
  <c r="K35" i="55"/>
  <c r="L35" i="55"/>
  <c r="M35" i="55"/>
  <c r="G36" i="55"/>
  <c r="H36" i="55"/>
  <c r="I36" i="55"/>
  <c r="J36" i="55"/>
  <c r="K36" i="55"/>
  <c r="L36" i="55"/>
  <c r="M36" i="55"/>
  <c r="G37" i="55"/>
  <c r="H37" i="55"/>
  <c r="I37" i="55"/>
  <c r="J37" i="55"/>
  <c r="K37" i="55"/>
  <c r="L37" i="55"/>
  <c r="M37" i="55"/>
  <c r="G38" i="55"/>
  <c r="H38" i="55"/>
  <c r="I38" i="55"/>
  <c r="J38" i="55"/>
  <c r="K38" i="55"/>
  <c r="L38" i="55"/>
  <c r="M38" i="55"/>
  <c r="G39" i="55"/>
  <c r="H39" i="55"/>
  <c r="I39" i="55"/>
  <c r="J39" i="55"/>
  <c r="K39" i="55"/>
  <c r="L39" i="55"/>
  <c r="M39" i="55"/>
  <c r="G41" i="55"/>
  <c r="H41" i="55"/>
  <c r="I41" i="55"/>
  <c r="J41" i="55"/>
  <c r="K41" i="55"/>
  <c r="L41" i="55"/>
  <c r="M41" i="55"/>
  <c r="G46" i="55"/>
  <c r="H46" i="55"/>
  <c r="I46" i="55"/>
  <c r="J46" i="55"/>
  <c r="K46" i="55"/>
  <c r="L46" i="55"/>
  <c r="M46" i="55"/>
  <c r="G47" i="55"/>
  <c r="H47" i="55"/>
  <c r="I47" i="55"/>
  <c r="J47" i="55"/>
  <c r="K47" i="55"/>
  <c r="L47" i="55"/>
  <c r="M47" i="55"/>
  <c r="G49" i="55"/>
  <c r="H49" i="55"/>
  <c r="I49" i="55"/>
  <c r="J49" i="55"/>
  <c r="K49" i="55"/>
  <c r="L49" i="55"/>
  <c r="M49" i="55"/>
  <c r="G50" i="55"/>
  <c r="H50" i="55"/>
  <c r="I50" i="55"/>
  <c r="J50" i="55"/>
  <c r="K50" i="55"/>
  <c r="L50" i="55"/>
  <c r="M50" i="55"/>
  <c r="G51" i="55"/>
  <c r="H51" i="55"/>
  <c r="I51" i="55"/>
  <c r="J51" i="55"/>
  <c r="K51" i="55"/>
  <c r="L51" i="55"/>
  <c r="M51" i="55"/>
  <c r="G52" i="55"/>
  <c r="H52" i="55"/>
  <c r="I52" i="55"/>
  <c r="J52" i="55"/>
  <c r="K52" i="55"/>
  <c r="L52" i="55"/>
  <c r="M52" i="55"/>
  <c r="G53" i="55"/>
  <c r="H53" i="55"/>
  <c r="I53" i="55"/>
  <c r="J53" i="55"/>
  <c r="K53" i="55"/>
  <c r="L53" i="55"/>
  <c r="M53" i="55"/>
  <c r="G54" i="55"/>
  <c r="H54" i="55"/>
  <c r="I54" i="55"/>
  <c r="J54" i="55"/>
  <c r="K54" i="55"/>
  <c r="L54" i="55"/>
  <c r="M54" i="55"/>
  <c r="G55" i="55"/>
  <c r="H55" i="55"/>
  <c r="I55" i="55"/>
  <c r="J55" i="55"/>
  <c r="K55" i="55"/>
  <c r="L55" i="55"/>
  <c r="M55" i="55"/>
  <c r="G56" i="55"/>
  <c r="H56" i="55"/>
  <c r="I56" i="55"/>
  <c r="J56" i="55"/>
  <c r="K56" i="55"/>
  <c r="L56" i="55"/>
  <c r="M56" i="55"/>
  <c r="G57" i="55"/>
  <c r="H57" i="55"/>
  <c r="I57" i="55"/>
  <c r="J57" i="55"/>
  <c r="K57" i="55"/>
  <c r="L57" i="55"/>
  <c r="M57" i="55"/>
  <c r="G58" i="55"/>
  <c r="H58" i="55"/>
  <c r="I58" i="55"/>
  <c r="J58" i="55"/>
  <c r="K58" i="55"/>
  <c r="L58" i="55"/>
  <c r="M58" i="55"/>
  <c r="G65" i="55"/>
  <c r="H65" i="55"/>
  <c r="I65" i="55"/>
  <c r="J65" i="55"/>
  <c r="K65" i="55"/>
  <c r="L65" i="55"/>
  <c r="M65" i="55"/>
  <c r="G66" i="55"/>
  <c r="H66" i="55"/>
  <c r="I66" i="55"/>
  <c r="J66" i="55"/>
  <c r="K66" i="55"/>
  <c r="L66" i="55"/>
  <c r="M66" i="55"/>
  <c r="G67" i="55"/>
  <c r="H67" i="55"/>
  <c r="I67" i="55"/>
  <c r="J67" i="55"/>
  <c r="K67" i="55"/>
  <c r="L67" i="55"/>
  <c r="M67" i="55"/>
  <c r="G70" i="55"/>
  <c r="H70" i="55"/>
  <c r="I70" i="55"/>
  <c r="J70" i="55"/>
  <c r="K70" i="55"/>
  <c r="L70" i="55"/>
  <c r="M70" i="55"/>
  <c r="G71" i="55"/>
  <c r="H71" i="55"/>
  <c r="I71" i="55"/>
  <c r="J71" i="55"/>
  <c r="K71" i="55"/>
  <c r="L71" i="55"/>
  <c r="M71" i="55"/>
  <c r="G72" i="55"/>
  <c r="H72" i="55"/>
  <c r="I72" i="55"/>
  <c r="J72" i="55"/>
  <c r="K72" i="55"/>
  <c r="L72" i="55"/>
  <c r="M72" i="55"/>
  <c r="G76" i="55"/>
  <c r="H76" i="55"/>
  <c r="I76" i="55"/>
  <c r="J76" i="55"/>
  <c r="K76" i="55"/>
  <c r="L76" i="55"/>
  <c r="M76" i="55"/>
  <c r="G77" i="55"/>
  <c r="H77" i="55"/>
  <c r="I77" i="55"/>
  <c r="J77" i="55"/>
  <c r="K77" i="55"/>
  <c r="L77" i="55"/>
  <c r="M77" i="55"/>
  <c r="G78" i="55"/>
  <c r="H78" i="55"/>
  <c r="I78" i="55"/>
  <c r="J78" i="55"/>
  <c r="K78" i="55"/>
  <c r="L78" i="55"/>
  <c r="M78" i="55"/>
  <c r="G81" i="55"/>
  <c r="H81" i="55"/>
  <c r="I81" i="55"/>
  <c r="J81" i="55"/>
  <c r="K81" i="55"/>
  <c r="L81" i="55"/>
  <c r="M81" i="55"/>
  <c r="G82" i="55"/>
  <c r="H82" i="55"/>
  <c r="I82" i="55"/>
  <c r="J82" i="55"/>
  <c r="K82" i="55"/>
  <c r="L82" i="55"/>
  <c r="M82" i="55"/>
  <c r="G83" i="55"/>
  <c r="H83" i="55"/>
  <c r="I83" i="55"/>
  <c r="J83" i="55"/>
  <c r="K83" i="55"/>
  <c r="L83" i="55"/>
  <c r="M83" i="55"/>
  <c r="G87" i="55"/>
  <c r="H87" i="55"/>
  <c r="I87" i="55"/>
  <c r="J87" i="55"/>
  <c r="K87" i="55"/>
  <c r="L87" i="55"/>
  <c r="M87" i="55"/>
  <c r="G88" i="55"/>
  <c r="H88" i="55"/>
  <c r="I88" i="55"/>
  <c r="J88" i="55"/>
  <c r="K88" i="55"/>
  <c r="L88" i="55"/>
  <c r="M88" i="55"/>
  <c r="G89" i="55"/>
  <c r="H89" i="55"/>
  <c r="I89" i="55"/>
  <c r="J89" i="55"/>
  <c r="K89" i="55"/>
  <c r="L89" i="55"/>
  <c r="M89" i="55"/>
  <c r="G92" i="55"/>
  <c r="H92" i="55"/>
  <c r="I92" i="55"/>
  <c r="J92" i="55"/>
  <c r="K92" i="55"/>
  <c r="L92" i="55"/>
  <c r="M92" i="55"/>
  <c r="G93" i="55"/>
  <c r="H93" i="55"/>
  <c r="I93" i="55"/>
  <c r="J93" i="55"/>
  <c r="K93" i="55"/>
  <c r="L93" i="55"/>
  <c r="M93" i="55"/>
  <c r="G94" i="55"/>
  <c r="H94" i="55"/>
  <c r="I94" i="55"/>
  <c r="J94" i="55"/>
  <c r="K94" i="55"/>
  <c r="L94" i="55"/>
  <c r="M94" i="55"/>
  <c r="G98" i="55"/>
  <c r="H98" i="55"/>
  <c r="I98" i="55"/>
  <c r="J98" i="55"/>
  <c r="K98" i="55"/>
  <c r="L98" i="55"/>
  <c r="M98" i="55"/>
  <c r="G99" i="55"/>
  <c r="H99" i="55"/>
  <c r="I99" i="55"/>
  <c r="J99" i="55"/>
  <c r="K99" i="55"/>
  <c r="L99" i="55"/>
  <c r="M99" i="55"/>
  <c r="G100" i="55"/>
  <c r="H100" i="55"/>
  <c r="I100" i="55"/>
  <c r="J100" i="55"/>
  <c r="K100" i="55"/>
  <c r="L100" i="55"/>
  <c r="M100" i="55"/>
  <c r="G103" i="55"/>
  <c r="H103" i="55"/>
  <c r="I103" i="55"/>
  <c r="J103" i="55"/>
  <c r="K103" i="55"/>
  <c r="L103" i="55"/>
  <c r="M103" i="55"/>
  <c r="G104" i="55"/>
  <c r="H104" i="55"/>
  <c r="I104" i="55"/>
  <c r="J104" i="55"/>
  <c r="K104" i="55"/>
  <c r="L104" i="55"/>
  <c r="M104" i="55"/>
  <c r="G105" i="55"/>
  <c r="H105" i="55"/>
  <c r="I105" i="55"/>
  <c r="J105" i="55"/>
  <c r="K105" i="55"/>
  <c r="L105" i="55"/>
  <c r="M105" i="55"/>
  <c r="G108" i="55"/>
  <c r="H108" i="55"/>
  <c r="I108" i="55"/>
  <c r="J108" i="55"/>
  <c r="K108" i="55"/>
  <c r="L108" i="55"/>
  <c r="M108" i="55"/>
  <c r="G109" i="55"/>
  <c r="H109" i="55"/>
  <c r="I109" i="55"/>
  <c r="J109" i="55"/>
  <c r="K109" i="55"/>
  <c r="L109" i="55"/>
  <c r="M109" i="55"/>
  <c r="G111" i="55"/>
  <c r="H111" i="55"/>
  <c r="I111" i="55"/>
  <c r="J111" i="55"/>
  <c r="K111" i="55"/>
  <c r="L111" i="55"/>
  <c r="M111" i="55"/>
  <c r="G112" i="55"/>
  <c r="H112" i="55"/>
  <c r="I112" i="55"/>
  <c r="J112" i="55"/>
  <c r="K112" i="55"/>
  <c r="L112" i="55"/>
  <c r="M112" i="55"/>
  <c r="G113" i="55"/>
  <c r="H113" i="55"/>
  <c r="I113" i="55"/>
  <c r="J113" i="55"/>
  <c r="K113" i="55"/>
  <c r="L113" i="55"/>
  <c r="M113" i="55"/>
  <c r="G114" i="55"/>
  <c r="H114" i="55"/>
  <c r="I114" i="55"/>
  <c r="J114" i="55"/>
  <c r="K114" i="55"/>
  <c r="L114" i="55"/>
  <c r="M114" i="55"/>
  <c r="G118" i="55"/>
  <c r="H118" i="55"/>
  <c r="I118" i="55"/>
  <c r="J118" i="55"/>
  <c r="K118" i="55"/>
  <c r="L118" i="55"/>
  <c r="M118" i="55"/>
  <c r="G119" i="55"/>
  <c r="H119" i="55"/>
  <c r="I119" i="55"/>
  <c r="J119" i="55"/>
  <c r="K119" i="55"/>
  <c r="L119" i="55"/>
  <c r="M119" i="55"/>
  <c r="G123" i="55"/>
  <c r="H123" i="55"/>
  <c r="I123" i="55"/>
  <c r="J123" i="55"/>
  <c r="K123" i="55"/>
  <c r="L123" i="55"/>
  <c r="M123" i="55"/>
  <c r="G124" i="55"/>
  <c r="H124" i="55"/>
  <c r="I124" i="55"/>
  <c r="J124" i="55"/>
  <c r="K124" i="55"/>
  <c r="L124" i="55"/>
  <c r="M124" i="55"/>
  <c r="G125" i="55"/>
  <c r="H125" i="55"/>
  <c r="I125" i="55"/>
  <c r="J125" i="55"/>
  <c r="K125" i="55"/>
  <c r="L125" i="55"/>
  <c r="M125" i="55"/>
  <c r="G128" i="55"/>
  <c r="H128" i="55"/>
  <c r="I128" i="55"/>
  <c r="J128" i="55"/>
  <c r="K128" i="55"/>
  <c r="L128" i="55"/>
  <c r="M128" i="55"/>
  <c r="G129" i="55"/>
  <c r="H129" i="55"/>
  <c r="I129" i="55"/>
  <c r="J129" i="55"/>
  <c r="K129" i="55"/>
  <c r="L129" i="55"/>
  <c r="M129" i="55"/>
  <c r="G130" i="55"/>
  <c r="H130" i="55"/>
  <c r="I130" i="55"/>
  <c r="J130" i="55"/>
  <c r="K130" i="55"/>
  <c r="L130" i="55"/>
  <c r="M130" i="55"/>
  <c r="G133" i="55"/>
  <c r="H133" i="55"/>
  <c r="I133" i="55"/>
  <c r="J133" i="55"/>
  <c r="K133" i="55"/>
  <c r="L133" i="55"/>
  <c r="M133" i="55"/>
  <c r="D139" i="28"/>
  <c r="E139" i="28"/>
  <c r="F139" i="28"/>
  <c r="G139" i="28"/>
  <c r="H139" i="28"/>
  <c r="I139" i="28"/>
  <c r="J139" i="28"/>
  <c r="D140" i="28"/>
  <c r="E140" i="28"/>
  <c r="F140" i="28"/>
  <c r="G140" i="28"/>
  <c r="H140" i="28"/>
  <c r="I140" i="28"/>
  <c r="J140" i="28"/>
  <c r="D144" i="28"/>
  <c r="E144" i="28"/>
  <c r="F144" i="28"/>
  <c r="G144" i="28"/>
  <c r="H144" i="28"/>
  <c r="I144" i="28"/>
  <c r="J144" i="28"/>
  <c r="D145" i="28"/>
  <c r="E145" i="28"/>
  <c r="F145" i="28"/>
  <c r="G145" i="28"/>
  <c r="H145" i="28"/>
  <c r="I145" i="28"/>
  <c r="J145" i="28"/>
  <c r="J154" i="28"/>
  <c r="D157" i="28"/>
  <c r="E157" i="28"/>
  <c r="F157" i="28"/>
  <c r="G157" i="28"/>
  <c r="H157" i="28"/>
  <c r="I157" i="28"/>
  <c r="J157" i="28"/>
  <c r="D158" i="28"/>
  <c r="E158" i="28"/>
  <c r="F158" i="28"/>
  <c r="G158" i="28"/>
  <c r="H158" i="28"/>
  <c r="I158" i="28"/>
  <c r="J158" i="28"/>
  <c r="D198" i="28"/>
  <c r="E198" i="28"/>
  <c r="F198" i="28"/>
  <c r="G198" i="28"/>
  <c r="H198" i="28"/>
  <c r="I198" i="28"/>
  <c r="J198" i="28"/>
  <c r="D199" i="28"/>
  <c r="E199" i="28"/>
  <c r="F199" i="28"/>
  <c r="G199" i="28"/>
  <c r="H199" i="28"/>
  <c r="I199" i="28"/>
  <c r="J199" i="28"/>
  <c r="D201" i="28"/>
  <c r="E201" i="28"/>
  <c r="F201" i="28"/>
  <c r="G201" i="28"/>
  <c r="H201" i="28"/>
  <c r="I201" i="28"/>
  <c r="J201" i="28"/>
  <c r="D202" i="28"/>
  <c r="E202" i="28"/>
  <c r="F202" i="28"/>
  <c r="G202" i="28"/>
  <c r="H202" i="28"/>
  <c r="I202" i="28"/>
  <c r="J202" i="28"/>
  <c r="D203" i="28"/>
  <c r="E203" i="28"/>
  <c r="F203" i="28"/>
  <c r="G203" i="28"/>
  <c r="H203" i="28"/>
  <c r="I203" i="28"/>
  <c r="J203" i="28"/>
  <c r="D204" i="28"/>
  <c r="E204" i="28"/>
  <c r="F204" i="28"/>
  <c r="G204" i="28"/>
  <c r="H204" i="28"/>
  <c r="I204" i="28"/>
  <c r="J204" i="28"/>
  <c r="D205" i="28"/>
  <c r="E205" i="28"/>
  <c r="F205" i="28"/>
  <c r="G205" i="28"/>
  <c r="H205" i="28"/>
  <c r="I205" i="28"/>
  <c r="J205" i="28"/>
  <c r="D206" i="28"/>
  <c r="E206" i="28"/>
  <c r="F206" i="28"/>
  <c r="G206" i="28"/>
  <c r="H206" i="28"/>
  <c r="I206" i="28"/>
  <c r="J206" i="28"/>
  <c r="D207" i="28"/>
  <c r="E207" i="28"/>
  <c r="F207" i="28"/>
  <c r="G207" i="28"/>
  <c r="H207" i="28"/>
  <c r="I207" i="28"/>
  <c r="J207" i="28"/>
  <c r="D210" i="28"/>
  <c r="E210" i="28"/>
  <c r="F210" i="28"/>
  <c r="G210" i="28"/>
  <c r="H210" i="28"/>
  <c r="I210" i="28"/>
  <c r="J210" i="28"/>
  <c r="D211" i="28"/>
  <c r="E211" i="28"/>
  <c r="F211" i="28"/>
  <c r="G211" i="28"/>
  <c r="H211" i="28"/>
  <c r="I211" i="28"/>
  <c r="J211" i="28"/>
  <c r="D212" i="28"/>
  <c r="E212" i="28"/>
  <c r="F212" i="28"/>
  <c r="G212" i="28"/>
  <c r="H212" i="28"/>
  <c r="I212" i="28"/>
  <c r="J212" i="28"/>
  <c r="D213" i="28"/>
  <c r="E213" i="28"/>
  <c r="F213" i="28"/>
  <c r="G213" i="28"/>
  <c r="H213" i="28"/>
  <c r="I213" i="28"/>
  <c r="J213" i="28"/>
  <c r="D214" i="28"/>
  <c r="E214" i="28"/>
  <c r="F214" i="28"/>
  <c r="G214" i="28"/>
  <c r="H214" i="28"/>
  <c r="I214" i="28"/>
  <c r="J214" i="28"/>
  <c r="D215" i="28"/>
  <c r="E215" i="28"/>
  <c r="F215" i="28"/>
  <c r="G215" i="28"/>
  <c r="H215" i="28"/>
  <c r="I215" i="28"/>
  <c r="J215" i="28"/>
  <c r="D216" i="28"/>
  <c r="E216" i="28"/>
  <c r="F216" i="28"/>
  <c r="G216" i="28"/>
  <c r="H216" i="28"/>
  <c r="I216" i="28"/>
  <c r="J216" i="28"/>
  <c r="D217" i="28"/>
  <c r="E217" i="28"/>
  <c r="F217" i="28"/>
  <c r="G217" i="28"/>
  <c r="H217" i="28"/>
  <c r="I217" i="28"/>
  <c r="J217" i="28"/>
  <c r="D218" i="28"/>
  <c r="E218" i="28"/>
  <c r="F218" i="28"/>
  <c r="G218" i="28"/>
  <c r="H218" i="28"/>
  <c r="I218" i="28"/>
  <c r="J218" i="28"/>
  <c r="D219" i="28"/>
  <c r="E219" i="28"/>
  <c r="F219" i="28"/>
  <c r="G219" i="28"/>
  <c r="H219" i="28"/>
  <c r="I219" i="28"/>
  <c r="J219" i="28"/>
  <c r="D220" i="28"/>
  <c r="E220" i="28"/>
  <c r="F220" i="28"/>
  <c r="G220" i="28"/>
  <c r="H220" i="28"/>
  <c r="I220" i="28"/>
  <c r="J220" i="28"/>
  <c r="D221" i="28"/>
  <c r="E221" i="28"/>
  <c r="F221" i="28"/>
  <c r="G221" i="28"/>
  <c r="H221" i="28"/>
  <c r="I221" i="28"/>
  <c r="J221" i="28"/>
  <c r="D222" i="28"/>
  <c r="E222" i="28"/>
  <c r="F222" i="28"/>
  <c r="G222" i="28"/>
  <c r="H222" i="28"/>
  <c r="I222" i="28"/>
  <c r="J222" i="28"/>
  <c r="D223" i="28"/>
  <c r="E223" i="28"/>
  <c r="F223" i="28"/>
  <c r="G223" i="28"/>
  <c r="H223" i="28"/>
  <c r="I223" i="28"/>
  <c r="J223" i="28"/>
  <c r="D224" i="28"/>
  <c r="E224" i="28"/>
  <c r="F224" i="28"/>
  <c r="G224" i="28"/>
  <c r="H224" i="28"/>
  <c r="I224" i="28"/>
  <c r="J224" i="28"/>
  <c r="D226" i="28"/>
  <c r="E226" i="28"/>
  <c r="F226" i="28"/>
  <c r="G226" i="28"/>
  <c r="H226" i="28"/>
  <c r="I226" i="28"/>
  <c r="J226" i="28"/>
  <c r="D227" i="28"/>
  <c r="E227" i="28"/>
  <c r="F227" i="28"/>
  <c r="G227" i="28"/>
  <c r="H227" i="28"/>
  <c r="I227" i="28"/>
  <c r="J227" i="28"/>
  <c r="D228" i="28"/>
  <c r="E228" i="28"/>
  <c r="F228" i="28"/>
  <c r="G228" i="28"/>
  <c r="H228" i="28"/>
  <c r="I228" i="28"/>
  <c r="J228" i="28"/>
  <c r="G30" i="57"/>
  <c r="H30" i="57"/>
  <c r="I30" i="57"/>
  <c r="J30" i="57"/>
  <c r="K30" i="57"/>
  <c r="L30" i="57"/>
  <c r="M30" i="57"/>
  <c r="G31" i="57"/>
  <c r="H31" i="57"/>
  <c r="I31" i="57"/>
  <c r="J31" i="57"/>
  <c r="K31" i="57"/>
  <c r="L31" i="57"/>
  <c r="M31" i="57"/>
  <c r="G32" i="57"/>
  <c r="H32" i="57"/>
  <c r="I32" i="57"/>
  <c r="J32" i="57"/>
  <c r="K32" i="57"/>
  <c r="L32" i="57"/>
  <c r="M32" i="57"/>
  <c r="G33" i="57"/>
  <c r="H33" i="57"/>
  <c r="I33" i="57"/>
  <c r="J33" i="57"/>
  <c r="K33" i="57"/>
  <c r="L33" i="57"/>
  <c r="M33" i="57"/>
  <c r="G34" i="57"/>
  <c r="H34" i="57"/>
  <c r="I34" i="57"/>
  <c r="J34" i="57"/>
  <c r="K34" i="57"/>
  <c r="L34" i="57"/>
  <c r="M34" i="57"/>
  <c r="G35" i="57"/>
  <c r="H35" i="57"/>
  <c r="I35" i="57"/>
  <c r="J35" i="57"/>
  <c r="K35" i="57"/>
  <c r="L35" i="57"/>
  <c r="M35" i="57"/>
  <c r="G36" i="57"/>
  <c r="H36" i="57"/>
  <c r="I36" i="57"/>
  <c r="J36" i="57"/>
  <c r="K36" i="57"/>
  <c r="L36" i="57"/>
  <c r="M36" i="57"/>
  <c r="G37" i="57"/>
  <c r="H37" i="57"/>
  <c r="I37" i="57"/>
  <c r="J37" i="57"/>
  <c r="K37" i="57"/>
  <c r="L37" i="57"/>
  <c r="M37" i="57"/>
  <c r="G38" i="57"/>
  <c r="H38" i="57"/>
  <c r="I38" i="57"/>
  <c r="J38" i="57"/>
  <c r="K38" i="57"/>
  <c r="L38" i="57"/>
  <c r="M38" i="57"/>
  <c r="G39" i="57"/>
  <c r="H39" i="57"/>
  <c r="I39" i="57"/>
  <c r="J39" i="57"/>
  <c r="K39" i="57"/>
  <c r="L39" i="57"/>
  <c r="M39" i="57"/>
  <c r="G40" i="57"/>
  <c r="H40" i="57"/>
  <c r="I40" i="57"/>
  <c r="J40" i="57"/>
  <c r="K40" i="57"/>
  <c r="L40" i="57"/>
  <c r="M40" i="57"/>
  <c r="G44" i="57"/>
  <c r="H44" i="57"/>
  <c r="I44" i="57"/>
  <c r="J44" i="57"/>
  <c r="K44" i="57"/>
  <c r="L44" i="57"/>
  <c r="M44" i="57"/>
  <c r="G45" i="57"/>
  <c r="H45" i="57"/>
  <c r="I45" i="57"/>
  <c r="J45" i="57"/>
  <c r="K45" i="57"/>
  <c r="L45" i="57"/>
  <c r="M45" i="57"/>
  <c r="G46" i="57"/>
  <c r="H46" i="57"/>
  <c r="I46" i="57"/>
  <c r="J46" i="57"/>
  <c r="K46" i="57"/>
  <c r="L46" i="57"/>
  <c r="M46" i="57"/>
  <c r="G47" i="57"/>
  <c r="H47" i="57"/>
  <c r="I47" i="57"/>
  <c r="J47" i="57"/>
  <c r="K47" i="57"/>
  <c r="L47" i="57"/>
  <c r="M47" i="57"/>
  <c r="G50" i="57"/>
  <c r="H50" i="57"/>
  <c r="I50" i="57"/>
  <c r="J50" i="57"/>
  <c r="K50" i="57"/>
  <c r="L50" i="57"/>
  <c r="M50" i="57"/>
  <c r="G51" i="57"/>
  <c r="H51" i="57"/>
  <c r="I51" i="57"/>
  <c r="J51" i="57"/>
  <c r="K51" i="57"/>
  <c r="L51" i="57"/>
  <c r="M51" i="57"/>
  <c r="G52" i="57"/>
  <c r="H52" i="57"/>
  <c r="I52" i="57"/>
  <c r="J52" i="57"/>
  <c r="K52" i="57"/>
  <c r="L52" i="57"/>
  <c r="M52" i="57"/>
  <c r="G53" i="57"/>
  <c r="H53" i="57"/>
  <c r="I53" i="57"/>
  <c r="J53" i="57"/>
  <c r="K53" i="57"/>
  <c r="L53" i="57"/>
  <c r="M53" i="57"/>
  <c r="G54" i="57"/>
  <c r="H54" i="57"/>
  <c r="I54" i="57"/>
  <c r="J54" i="57"/>
  <c r="K54" i="57"/>
  <c r="L54" i="57"/>
  <c r="M54" i="57"/>
  <c r="G56" i="57"/>
  <c r="H56" i="57"/>
  <c r="I56" i="57"/>
  <c r="J56" i="57"/>
  <c r="K56" i="57"/>
  <c r="L56" i="57"/>
  <c r="M56" i="57"/>
  <c r="G58" i="57"/>
  <c r="H58" i="57"/>
  <c r="I58" i="57"/>
  <c r="J58" i="57"/>
  <c r="K58" i="57"/>
  <c r="L58" i="57"/>
  <c r="M58" i="57"/>
  <c r="G61" i="57"/>
  <c r="H61" i="57"/>
  <c r="I61" i="57"/>
  <c r="J61" i="57"/>
  <c r="K61" i="57"/>
  <c r="L61" i="57"/>
  <c r="M61" i="57"/>
  <c r="G62" i="57"/>
  <c r="H62" i="57"/>
  <c r="I62" i="57"/>
  <c r="J62" i="57"/>
  <c r="K62" i="57"/>
  <c r="L62" i="57"/>
  <c r="M62" i="57"/>
  <c r="G65" i="57"/>
  <c r="H65" i="57"/>
  <c r="I65" i="57"/>
  <c r="J65" i="57"/>
  <c r="K65" i="57"/>
  <c r="L65" i="57"/>
  <c r="M65" i="57"/>
  <c r="G66" i="57"/>
  <c r="H66" i="57"/>
  <c r="I66" i="57"/>
  <c r="J66" i="57"/>
  <c r="K66" i="57"/>
  <c r="L66" i="57"/>
  <c r="M66" i="57"/>
  <c r="G67" i="57"/>
  <c r="H67" i="57"/>
  <c r="I67" i="57"/>
  <c r="J67" i="57"/>
  <c r="K67" i="57"/>
  <c r="L67" i="57"/>
  <c r="M67" i="57"/>
  <c r="G69" i="57"/>
  <c r="H69" i="57"/>
  <c r="I69" i="57"/>
  <c r="J69" i="57"/>
  <c r="K69" i="57"/>
  <c r="L69" i="57"/>
  <c r="M69" i="57"/>
  <c r="G70" i="57"/>
  <c r="H70" i="57"/>
  <c r="I70" i="57"/>
  <c r="J70" i="57"/>
  <c r="K70" i="57"/>
  <c r="L70" i="57"/>
  <c r="M70" i="57"/>
  <c r="G71" i="57"/>
  <c r="H71" i="57"/>
  <c r="I71" i="57"/>
  <c r="J71" i="57"/>
  <c r="K71" i="57"/>
  <c r="L71" i="57"/>
  <c r="M71" i="57"/>
  <c r="G72" i="57"/>
  <c r="H72" i="57"/>
  <c r="I72" i="57"/>
  <c r="J72" i="57"/>
  <c r="K72" i="57"/>
  <c r="L72" i="57"/>
  <c r="M72" i="57"/>
  <c r="G74" i="57"/>
  <c r="H74" i="57"/>
  <c r="I74" i="57"/>
  <c r="J74" i="57"/>
  <c r="K74" i="57"/>
  <c r="L74" i="57"/>
  <c r="M74" i="57"/>
  <c r="G77" i="57"/>
  <c r="H77" i="57"/>
  <c r="I77" i="57"/>
  <c r="J77" i="57"/>
  <c r="K77" i="57"/>
  <c r="L77" i="57"/>
  <c r="M77" i="57"/>
  <c r="G80" i="57"/>
  <c r="H80" i="57"/>
  <c r="I80" i="57"/>
  <c r="J80" i="57"/>
  <c r="K80" i="57"/>
  <c r="L80" i="57"/>
  <c r="M80" i="57"/>
  <c r="G81" i="57"/>
  <c r="H81" i="57"/>
  <c r="I81" i="57"/>
  <c r="J81" i="57"/>
  <c r="K81" i="57"/>
  <c r="L81" i="57"/>
  <c r="M81" i="57"/>
  <c r="G82" i="57"/>
  <c r="H82" i="57"/>
  <c r="I82" i="57"/>
  <c r="J82" i="57"/>
  <c r="K82" i="57"/>
  <c r="L82" i="57"/>
  <c r="M82" i="57"/>
  <c r="G83" i="57"/>
  <c r="H83" i="57"/>
  <c r="I83" i="57"/>
  <c r="J83" i="57"/>
  <c r="K83" i="57"/>
  <c r="L83" i="57"/>
  <c r="M83" i="57"/>
  <c r="G84" i="57"/>
  <c r="H84" i="57"/>
  <c r="I84" i="57"/>
  <c r="J84" i="57"/>
  <c r="K84" i="57"/>
  <c r="L84" i="57"/>
  <c r="M84" i="57"/>
  <c r="G85" i="57"/>
  <c r="H85" i="57"/>
  <c r="I85" i="57"/>
  <c r="J85" i="57"/>
  <c r="K85" i="57"/>
  <c r="L85" i="57"/>
  <c r="M85" i="57"/>
  <c r="G86" i="57"/>
  <c r="H86" i="57"/>
  <c r="I86" i="57"/>
  <c r="J86" i="57"/>
  <c r="K86" i="57"/>
  <c r="L86" i="57"/>
  <c r="M86" i="57"/>
  <c r="G87" i="57"/>
  <c r="H87" i="57"/>
  <c r="I87" i="57"/>
  <c r="J87" i="57"/>
  <c r="K87" i="57"/>
  <c r="L87" i="57"/>
  <c r="M87" i="57"/>
  <c r="G91" i="57"/>
  <c r="H91" i="57"/>
  <c r="I91" i="57"/>
  <c r="J91" i="57"/>
  <c r="K91" i="57"/>
  <c r="L91" i="57"/>
  <c r="M91" i="57"/>
  <c r="G92" i="57"/>
  <c r="H92" i="57"/>
  <c r="I92" i="57"/>
  <c r="J92" i="57"/>
  <c r="K92" i="57"/>
  <c r="L92" i="57"/>
  <c r="M92" i="57"/>
  <c r="G95" i="57"/>
  <c r="H95" i="57"/>
  <c r="I95" i="57"/>
  <c r="J95" i="57"/>
  <c r="K95" i="57"/>
  <c r="L95" i="57"/>
  <c r="M95" i="57"/>
  <c r="G96" i="57"/>
  <c r="H96" i="57"/>
  <c r="I96" i="57"/>
  <c r="J96" i="57"/>
  <c r="K96" i="57"/>
  <c r="L96" i="57"/>
  <c r="M96" i="57"/>
  <c r="G97" i="57"/>
  <c r="H97" i="57"/>
  <c r="I97" i="57"/>
  <c r="J97" i="57"/>
  <c r="K97" i="57"/>
  <c r="L97" i="57"/>
  <c r="M97" i="57"/>
  <c r="G99" i="57"/>
  <c r="H99" i="57"/>
  <c r="I99" i="57"/>
  <c r="J99" i="57"/>
  <c r="K99" i="57"/>
  <c r="L99" i="57"/>
  <c r="M99" i="57"/>
  <c r="G100" i="57"/>
  <c r="H100" i="57"/>
  <c r="I100" i="57"/>
  <c r="J100" i="57"/>
  <c r="K100" i="57"/>
  <c r="L100" i="57"/>
  <c r="M100" i="57"/>
  <c r="G107" i="57"/>
  <c r="H107" i="57"/>
  <c r="I107" i="57"/>
  <c r="J107" i="57"/>
  <c r="K107" i="57"/>
  <c r="L107" i="57"/>
  <c r="M107" i="57"/>
  <c r="G108" i="57"/>
  <c r="H108" i="57"/>
  <c r="I108" i="57"/>
  <c r="J108" i="57"/>
  <c r="K108" i="57"/>
  <c r="L108" i="57"/>
  <c r="M108" i="57"/>
  <c r="G109" i="57"/>
  <c r="H109" i="57"/>
  <c r="I109" i="57"/>
  <c r="J109" i="57"/>
  <c r="K109" i="57"/>
  <c r="L109" i="57"/>
  <c r="M109" i="57"/>
  <c r="G110" i="57"/>
  <c r="H110" i="57"/>
  <c r="I110" i="57"/>
  <c r="J110" i="57"/>
  <c r="K110" i="57"/>
  <c r="L110" i="57"/>
  <c r="M110" i="57"/>
  <c r="G111" i="57"/>
  <c r="H111" i="57"/>
  <c r="I111" i="57"/>
  <c r="J111" i="57"/>
  <c r="K111" i="57"/>
  <c r="L111" i="57"/>
  <c r="M111" i="57"/>
  <c r="G112" i="57"/>
  <c r="H112" i="57"/>
  <c r="I112" i="57"/>
  <c r="J112" i="57"/>
  <c r="K112" i="57"/>
  <c r="L112" i="57"/>
  <c r="M112" i="57"/>
  <c r="G113" i="57"/>
  <c r="H113" i="57"/>
  <c r="I113" i="57"/>
  <c r="J113" i="57"/>
  <c r="K113" i="57"/>
  <c r="L113" i="57"/>
  <c r="M113" i="57"/>
  <c r="G114" i="57"/>
  <c r="H114" i="57"/>
  <c r="I114" i="57"/>
  <c r="J114" i="57"/>
  <c r="K114" i="57"/>
  <c r="L114" i="57"/>
  <c r="M114" i="57"/>
  <c r="G115" i="57"/>
  <c r="H115" i="57"/>
  <c r="I115" i="57"/>
  <c r="J115" i="57"/>
  <c r="K115" i="57"/>
  <c r="L115" i="57"/>
  <c r="M115" i="57"/>
  <c r="G116" i="57"/>
  <c r="H116" i="57"/>
  <c r="I116" i="57"/>
  <c r="J116" i="57"/>
  <c r="K116" i="57"/>
  <c r="L116" i="57"/>
  <c r="M116" i="57"/>
  <c r="G117" i="57"/>
  <c r="H117" i="57"/>
  <c r="I117" i="57"/>
  <c r="J117" i="57"/>
  <c r="K117" i="57"/>
  <c r="L117" i="57"/>
  <c r="M117" i="57"/>
  <c r="G120" i="57"/>
  <c r="H120" i="57"/>
  <c r="I120" i="57"/>
  <c r="J120" i="57"/>
  <c r="K120" i="57"/>
  <c r="L120" i="57"/>
  <c r="M120" i="57"/>
  <c r="G121" i="57"/>
  <c r="H121" i="57"/>
  <c r="I121" i="57"/>
  <c r="J121" i="57"/>
  <c r="K121" i="57"/>
  <c r="L121" i="57"/>
  <c r="M121" i="57"/>
  <c r="G122" i="57"/>
  <c r="H122" i="57"/>
  <c r="I122" i="57"/>
  <c r="J122" i="57"/>
  <c r="K122" i="57"/>
  <c r="L122" i="57"/>
  <c r="M122" i="57"/>
  <c r="G123" i="57"/>
  <c r="H123" i="57"/>
  <c r="I123" i="57"/>
  <c r="J123" i="57"/>
  <c r="K123" i="57"/>
  <c r="L123" i="57"/>
  <c r="M123" i="57"/>
  <c r="G124" i="57"/>
  <c r="H124" i="57"/>
  <c r="I124" i="57"/>
  <c r="J124" i="57"/>
  <c r="K124" i="57"/>
  <c r="L124" i="57"/>
  <c r="M124" i="57"/>
  <c r="G127" i="57"/>
  <c r="H127" i="57"/>
  <c r="I127" i="57"/>
  <c r="J127" i="57"/>
  <c r="K127" i="57"/>
  <c r="L127" i="57"/>
  <c r="M127" i="57"/>
  <c r="G128" i="57"/>
  <c r="H128" i="57"/>
  <c r="I128" i="57"/>
  <c r="J128" i="57"/>
  <c r="K128" i="57"/>
  <c r="L128" i="57"/>
  <c r="M128" i="57"/>
  <c r="G129" i="57"/>
  <c r="H129" i="57"/>
  <c r="I129" i="57"/>
  <c r="J129" i="57"/>
  <c r="K129" i="57"/>
  <c r="L129" i="57"/>
  <c r="M129" i="57"/>
  <c r="G130" i="57"/>
  <c r="H130" i="57"/>
  <c r="I130" i="57"/>
  <c r="J130" i="57"/>
  <c r="K130" i="57"/>
  <c r="L130" i="57"/>
  <c r="M130" i="57"/>
  <c r="G131" i="57"/>
  <c r="H131" i="57"/>
  <c r="I131" i="57"/>
  <c r="J131" i="57"/>
  <c r="K131" i="57"/>
  <c r="L131" i="57"/>
  <c r="M131" i="57"/>
  <c r="G132" i="57"/>
  <c r="H132" i="57"/>
  <c r="I132" i="57"/>
  <c r="J132" i="57"/>
  <c r="K132" i="57"/>
  <c r="L132" i="57"/>
  <c r="M132" i="57"/>
  <c r="G133" i="57"/>
  <c r="H133" i="57"/>
  <c r="I133" i="57"/>
  <c r="J133" i="57"/>
  <c r="K133" i="57"/>
  <c r="L133" i="57"/>
  <c r="M133" i="57"/>
  <c r="G134" i="57"/>
  <c r="H134" i="57"/>
  <c r="I134" i="57"/>
  <c r="J134" i="57"/>
  <c r="K134" i="57"/>
  <c r="L134" i="57"/>
  <c r="M134" i="57"/>
  <c r="G135" i="57"/>
  <c r="H135" i="57"/>
  <c r="I135" i="57"/>
  <c r="J135" i="57"/>
  <c r="K135" i="57"/>
  <c r="L135" i="57"/>
  <c r="M135" i="57"/>
  <c r="G138" i="57"/>
  <c r="H138" i="57"/>
  <c r="I138" i="57"/>
  <c r="J138" i="57"/>
  <c r="K138" i="57"/>
  <c r="L138" i="57"/>
  <c r="M138" i="57"/>
  <c r="G139" i="57"/>
  <c r="H139" i="57"/>
  <c r="I139" i="57"/>
  <c r="J139" i="57"/>
  <c r="K139" i="57"/>
  <c r="L139" i="57"/>
  <c r="M139" i="57"/>
  <c r="G140" i="57"/>
  <c r="H140" i="57"/>
  <c r="I140" i="57"/>
  <c r="J140" i="57"/>
  <c r="K140" i="57"/>
  <c r="L140" i="57"/>
  <c r="M140" i="57"/>
  <c r="G141" i="57"/>
  <c r="H141" i="57"/>
  <c r="I141" i="57"/>
  <c r="J141" i="57"/>
  <c r="K141" i="57"/>
  <c r="L141" i="57"/>
  <c r="M141" i="57"/>
  <c r="G142" i="57"/>
  <c r="H142" i="57"/>
  <c r="I142" i="57"/>
  <c r="J142" i="57"/>
  <c r="K142" i="57"/>
  <c r="L142" i="57"/>
  <c r="M142" i="57"/>
  <c r="G143" i="57"/>
  <c r="H143" i="57"/>
  <c r="I143" i="57"/>
  <c r="J143" i="57"/>
  <c r="K143" i="57"/>
  <c r="L143" i="57"/>
  <c r="M143" i="57"/>
  <c r="G144" i="57"/>
  <c r="H144" i="57"/>
  <c r="I144" i="57"/>
  <c r="J144" i="57"/>
  <c r="K144" i="57"/>
  <c r="L144" i="57"/>
  <c r="M144" i="57"/>
  <c r="G145" i="57"/>
  <c r="H145" i="57"/>
  <c r="I145" i="57"/>
  <c r="J145" i="57"/>
  <c r="K145" i="57"/>
  <c r="L145" i="57"/>
  <c r="M145" i="57"/>
  <c r="G146" i="57"/>
  <c r="H146" i="57"/>
  <c r="I146" i="57"/>
  <c r="J146" i="57"/>
  <c r="K146" i="57"/>
  <c r="L146" i="57"/>
  <c r="M146" i="57"/>
  <c r="G147" i="57"/>
  <c r="H147" i="57"/>
  <c r="I147" i="57"/>
  <c r="J147" i="57"/>
  <c r="K147" i="57"/>
  <c r="L147" i="57"/>
  <c r="M147" i="57"/>
  <c r="G148" i="57"/>
  <c r="H148" i="57"/>
  <c r="I148" i="57"/>
  <c r="J148" i="57"/>
  <c r="K148" i="57"/>
  <c r="L148" i="57"/>
  <c r="M148" i="57"/>
  <c r="G149" i="57"/>
  <c r="H149" i="57"/>
  <c r="I149" i="57"/>
  <c r="J149" i="57"/>
  <c r="K149" i="57"/>
  <c r="L149" i="57"/>
  <c r="M149" i="57"/>
  <c r="G150" i="57"/>
  <c r="H150" i="57"/>
  <c r="I150" i="57"/>
  <c r="J150" i="57"/>
  <c r="K150" i="57"/>
  <c r="L150" i="57"/>
  <c r="M150" i="57"/>
  <c r="G151" i="57"/>
  <c r="H151" i="57"/>
  <c r="I151" i="57"/>
  <c r="J151" i="57"/>
  <c r="K151" i="57"/>
  <c r="L151" i="57"/>
  <c r="M151" i="57"/>
  <c r="G154" i="57"/>
  <c r="H154" i="57"/>
  <c r="I154" i="57"/>
  <c r="J154" i="57"/>
  <c r="K154" i="57"/>
  <c r="L154" i="57"/>
  <c r="M154" i="57"/>
  <c r="G157" i="57"/>
  <c r="H157" i="57"/>
  <c r="I157" i="57"/>
  <c r="J157" i="57"/>
  <c r="K157" i="57"/>
  <c r="L157" i="57"/>
  <c r="M157" i="57"/>
  <c r="G158" i="57"/>
  <c r="H158" i="57"/>
  <c r="I158" i="57"/>
  <c r="J158" i="57"/>
  <c r="K158" i="57"/>
  <c r="L158" i="57"/>
  <c r="M158" i="57"/>
  <c r="G159" i="57"/>
  <c r="H159" i="57"/>
  <c r="I159" i="57"/>
  <c r="J159" i="57"/>
  <c r="K159" i="57"/>
  <c r="L159" i="57"/>
  <c r="M159" i="57"/>
  <c r="G160" i="57"/>
  <c r="H160" i="57"/>
  <c r="I160" i="57"/>
  <c r="J160" i="57"/>
  <c r="K160" i="57"/>
  <c r="L160" i="57"/>
  <c r="M160" i="57"/>
  <c r="G161" i="57"/>
  <c r="H161" i="57"/>
  <c r="I161" i="57"/>
  <c r="J161" i="57"/>
  <c r="K161" i="57"/>
  <c r="L161" i="57"/>
  <c r="M161" i="57"/>
  <c r="G162" i="57"/>
  <c r="H162" i="57"/>
  <c r="I162" i="57"/>
  <c r="J162" i="57"/>
  <c r="K162" i="57"/>
  <c r="L162" i="57"/>
  <c r="M162" i="57"/>
  <c r="G165" i="57"/>
  <c r="H165" i="57"/>
  <c r="I165" i="57"/>
  <c r="J165" i="57"/>
  <c r="K165" i="57"/>
  <c r="L165" i="57"/>
  <c r="M165" i="57"/>
  <c r="G166" i="57"/>
  <c r="H166" i="57"/>
  <c r="I166" i="57"/>
  <c r="J166" i="57"/>
  <c r="K166" i="57"/>
  <c r="L166" i="57"/>
  <c r="M166" i="57"/>
  <c r="G167" i="57"/>
  <c r="H167" i="57"/>
  <c r="I167" i="57"/>
  <c r="J167" i="57"/>
  <c r="K167" i="57"/>
  <c r="L167" i="57"/>
  <c r="M167" i="57"/>
  <c r="G170" i="57"/>
  <c r="H170" i="57"/>
  <c r="I170" i="57"/>
  <c r="J170" i="57"/>
  <c r="K170" i="57"/>
  <c r="L170" i="57"/>
  <c r="M170" i="57"/>
  <c r="G171" i="57"/>
  <c r="H171" i="57"/>
  <c r="I171" i="57"/>
  <c r="J171" i="57"/>
  <c r="K171" i="57"/>
  <c r="L171" i="57"/>
  <c r="M171" i="57"/>
  <c r="G172" i="57"/>
  <c r="H172" i="57"/>
  <c r="I172" i="57"/>
  <c r="J172" i="57"/>
  <c r="K172" i="57"/>
  <c r="L172" i="57"/>
  <c r="M172" i="57"/>
  <c r="G173" i="57"/>
  <c r="H173" i="57"/>
  <c r="I173" i="57"/>
  <c r="J173" i="57"/>
  <c r="K173" i="57"/>
  <c r="L173" i="57"/>
  <c r="M173" i="57"/>
  <c r="G174" i="57"/>
  <c r="H174" i="57"/>
  <c r="I174" i="57"/>
  <c r="J174" i="57"/>
  <c r="K174" i="57"/>
  <c r="L174" i="57"/>
  <c r="M174" i="57"/>
  <c r="G175" i="57"/>
  <c r="H175" i="57"/>
  <c r="I175" i="57"/>
  <c r="J175" i="57"/>
  <c r="K175" i="57"/>
  <c r="L175" i="57"/>
  <c r="M175" i="57"/>
  <c r="G188" i="57"/>
  <c r="H188" i="57"/>
  <c r="I188" i="57"/>
  <c r="J188" i="57"/>
  <c r="K188" i="57"/>
  <c r="L188" i="57"/>
  <c r="M188" i="57"/>
  <c r="G189" i="57"/>
  <c r="H189" i="57"/>
  <c r="I189" i="57"/>
  <c r="J189" i="57"/>
  <c r="K189" i="57"/>
  <c r="L189" i="57"/>
  <c r="M189" i="57"/>
  <c r="G190" i="57"/>
  <c r="H190" i="57"/>
  <c r="I190" i="57"/>
  <c r="J190" i="57"/>
  <c r="K190" i="57"/>
  <c r="L190" i="57"/>
  <c r="M190" i="57"/>
  <c r="G191" i="57"/>
  <c r="H191" i="57"/>
  <c r="I191" i="57"/>
  <c r="J191" i="57"/>
  <c r="K191" i="57"/>
  <c r="L191" i="57"/>
  <c r="M191" i="57"/>
  <c r="G192" i="57"/>
  <c r="H192" i="57"/>
  <c r="I192" i="57"/>
  <c r="J192" i="57"/>
  <c r="K192" i="57"/>
  <c r="L192" i="57"/>
  <c r="M192" i="57"/>
  <c r="G193" i="57"/>
  <c r="H193" i="57"/>
  <c r="I193" i="57"/>
  <c r="J193" i="57"/>
  <c r="K193" i="57"/>
  <c r="L193" i="57"/>
  <c r="M193" i="57"/>
  <c r="G194" i="57"/>
  <c r="H194" i="57"/>
  <c r="I194" i="57"/>
  <c r="J194" i="57"/>
  <c r="K194" i="57"/>
  <c r="L194" i="57"/>
  <c r="M194" i="57"/>
  <c r="G195" i="57"/>
  <c r="H195" i="57"/>
  <c r="I195" i="57"/>
  <c r="J195" i="57"/>
  <c r="K195" i="57"/>
  <c r="L195" i="57"/>
  <c r="M195" i="57"/>
  <c r="G196" i="57"/>
  <c r="H196" i="57"/>
  <c r="I196" i="57"/>
  <c r="J196" i="57"/>
  <c r="K196" i="57"/>
  <c r="L196" i="57"/>
  <c r="M196" i="57"/>
  <c r="G197" i="57"/>
  <c r="H197" i="57"/>
  <c r="I197" i="57"/>
  <c r="J197" i="57"/>
  <c r="K197" i="57"/>
  <c r="L197" i="57"/>
  <c r="M197" i="57"/>
  <c r="G198" i="57"/>
  <c r="H198" i="57"/>
  <c r="I198" i="57"/>
  <c r="J198" i="57"/>
  <c r="K198" i="57"/>
  <c r="L198" i="57"/>
  <c r="M198" i="57"/>
  <c r="G202" i="57"/>
  <c r="H202" i="57"/>
  <c r="I202" i="57"/>
  <c r="J202" i="57"/>
  <c r="K202" i="57"/>
  <c r="L202" i="57"/>
  <c r="M202" i="57"/>
  <c r="G203" i="57"/>
  <c r="H203" i="57"/>
  <c r="I203" i="57"/>
  <c r="J203" i="57"/>
  <c r="K203" i="57"/>
  <c r="L203" i="57"/>
  <c r="M203" i="57"/>
  <c r="G204" i="57"/>
  <c r="H204" i="57"/>
  <c r="I204" i="57"/>
  <c r="J204" i="57"/>
  <c r="K204" i="57"/>
  <c r="L204" i="57"/>
  <c r="M204" i="57"/>
  <c r="G205" i="57"/>
  <c r="H205" i="57"/>
  <c r="I205" i="57"/>
  <c r="J205" i="57"/>
  <c r="K205" i="57"/>
  <c r="L205" i="57"/>
  <c r="M205" i="57"/>
  <c r="G208" i="57"/>
  <c r="H208" i="57"/>
  <c r="I208" i="57"/>
  <c r="J208" i="57"/>
  <c r="K208" i="57"/>
  <c r="L208" i="57"/>
  <c r="M208" i="57"/>
  <c r="G209" i="57"/>
  <c r="H209" i="57"/>
  <c r="I209" i="57"/>
  <c r="J209" i="57"/>
  <c r="K209" i="57"/>
  <c r="L209" i="57"/>
  <c r="M209" i="57"/>
  <c r="G210" i="57"/>
  <c r="H210" i="57"/>
  <c r="I210" i="57"/>
  <c r="J210" i="57"/>
  <c r="K210" i="57"/>
  <c r="L210" i="57"/>
  <c r="M210" i="57"/>
  <c r="G211" i="57"/>
  <c r="H211" i="57"/>
  <c r="I211" i="57"/>
  <c r="J211" i="57"/>
  <c r="K211" i="57"/>
  <c r="L211" i="57"/>
  <c r="M211" i="57"/>
  <c r="G212" i="57"/>
  <c r="H212" i="57"/>
  <c r="I212" i="57"/>
  <c r="J212" i="57"/>
  <c r="K212" i="57"/>
  <c r="L212" i="57"/>
  <c r="M212" i="57"/>
  <c r="G214" i="57"/>
  <c r="H214" i="57"/>
  <c r="I214" i="57"/>
  <c r="J214" i="57"/>
  <c r="K214" i="57"/>
  <c r="L214" i="57"/>
  <c r="M214" i="57"/>
  <c r="G216" i="57"/>
  <c r="H216" i="57"/>
  <c r="I216" i="57"/>
  <c r="J216" i="57"/>
  <c r="K216" i="57"/>
  <c r="L216" i="57"/>
  <c r="M216" i="57"/>
  <c r="G219" i="57"/>
  <c r="H219" i="57"/>
  <c r="I219" i="57"/>
  <c r="J219" i="57"/>
  <c r="K219" i="57"/>
  <c r="L219" i="57"/>
  <c r="M219" i="57"/>
  <c r="G220" i="57"/>
  <c r="H220" i="57"/>
  <c r="I220" i="57"/>
  <c r="J220" i="57"/>
  <c r="K220" i="57"/>
  <c r="L220" i="57"/>
  <c r="M220" i="57"/>
  <c r="G223" i="57"/>
  <c r="H223" i="57"/>
  <c r="I223" i="57"/>
  <c r="J223" i="57"/>
  <c r="K223" i="57"/>
  <c r="L223" i="57"/>
  <c r="M223" i="57"/>
  <c r="G224" i="57"/>
  <c r="H224" i="57"/>
  <c r="I224" i="57"/>
  <c r="J224" i="57"/>
  <c r="K224" i="57"/>
  <c r="L224" i="57"/>
  <c r="M224" i="57"/>
  <c r="G225" i="57"/>
  <c r="H225" i="57"/>
  <c r="I225" i="57"/>
  <c r="J225" i="57"/>
  <c r="K225" i="57"/>
  <c r="L225" i="57"/>
  <c r="M225" i="57"/>
  <c r="G227" i="57"/>
  <c r="H227" i="57"/>
  <c r="I227" i="57"/>
  <c r="J227" i="57"/>
  <c r="K227" i="57"/>
  <c r="L227" i="57"/>
  <c r="M227" i="57"/>
  <c r="G228" i="57"/>
  <c r="H228" i="57"/>
  <c r="I228" i="57"/>
  <c r="J228" i="57"/>
  <c r="K228" i="57"/>
  <c r="L228" i="57"/>
  <c r="M228" i="57"/>
  <c r="G229" i="57"/>
  <c r="H229" i="57"/>
  <c r="I229" i="57"/>
  <c r="J229" i="57"/>
  <c r="K229" i="57"/>
  <c r="L229" i="57"/>
  <c r="M229" i="57"/>
  <c r="G230" i="57"/>
  <c r="H230" i="57"/>
  <c r="I230" i="57"/>
  <c r="J230" i="57"/>
  <c r="K230" i="57"/>
  <c r="L230" i="57"/>
  <c r="M230" i="57"/>
  <c r="G232" i="57"/>
  <c r="H232" i="57"/>
  <c r="I232" i="57"/>
  <c r="J232" i="57"/>
  <c r="K232" i="57"/>
  <c r="L232" i="57"/>
  <c r="M232" i="57"/>
  <c r="G235" i="57"/>
  <c r="H235" i="57"/>
  <c r="I235" i="57"/>
  <c r="J235" i="57"/>
  <c r="K235" i="57"/>
  <c r="L235" i="57"/>
  <c r="M235" i="57"/>
  <c r="G238" i="57"/>
  <c r="H238" i="57"/>
  <c r="I238" i="57"/>
  <c r="J238" i="57"/>
  <c r="K238" i="57"/>
  <c r="L238" i="57"/>
  <c r="M238" i="57"/>
  <c r="G246" i="57"/>
  <c r="H246" i="57"/>
  <c r="I246" i="57"/>
  <c r="J246" i="57"/>
  <c r="K246" i="57"/>
  <c r="L246" i="57"/>
  <c r="M246" i="57"/>
  <c r="G247" i="57"/>
  <c r="H247" i="57"/>
  <c r="I247" i="57"/>
  <c r="J247" i="57"/>
  <c r="K247" i="57"/>
  <c r="L247" i="57"/>
  <c r="M247" i="57"/>
  <c r="G248" i="57"/>
  <c r="H248" i="57"/>
  <c r="I248" i="57"/>
  <c r="J248" i="57"/>
  <c r="K248" i="57"/>
  <c r="L248" i="57"/>
  <c r="M248" i="57"/>
  <c r="G249" i="57"/>
  <c r="H249" i="57"/>
  <c r="I249" i="57"/>
  <c r="J249" i="57"/>
  <c r="K249" i="57"/>
  <c r="L249" i="57"/>
  <c r="M249" i="57"/>
  <c r="G250" i="57"/>
  <c r="H250" i="57"/>
  <c r="I250" i="57"/>
  <c r="J250" i="57"/>
  <c r="K250" i="57"/>
  <c r="L250" i="57"/>
  <c r="M250" i="57"/>
  <c r="G253" i="57"/>
  <c r="H253" i="57"/>
  <c r="I253" i="57"/>
  <c r="J253" i="57"/>
  <c r="K253" i="57"/>
  <c r="L253" i="57"/>
  <c r="M253" i="57"/>
  <c r="G254" i="57"/>
  <c r="H254" i="57"/>
  <c r="I254" i="57"/>
  <c r="J254" i="57"/>
  <c r="K254" i="57"/>
  <c r="L254" i="57"/>
  <c r="M254" i="57"/>
  <c r="G255" i="57"/>
  <c r="H255" i="57"/>
  <c r="I255" i="57"/>
  <c r="J255" i="57"/>
  <c r="K255" i="57"/>
  <c r="L255" i="57"/>
  <c r="M255" i="57"/>
  <c r="G256" i="57"/>
  <c r="H256" i="57"/>
  <c r="I256" i="57"/>
  <c r="J256" i="57"/>
  <c r="K256" i="57"/>
  <c r="L256" i="57"/>
  <c r="M256" i="57"/>
  <c r="G257" i="57"/>
  <c r="H257" i="57"/>
  <c r="I257" i="57"/>
  <c r="J257" i="57"/>
  <c r="K257" i="57"/>
  <c r="L257" i="57"/>
  <c r="M257" i="57"/>
  <c r="G260" i="57"/>
  <c r="H260" i="57"/>
  <c r="I260" i="57"/>
  <c r="J260" i="57"/>
  <c r="K260" i="57"/>
  <c r="L260" i="57"/>
  <c r="M260" i="57"/>
  <c r="G261" i="57"/>
  <c r="H261" i="57"/>
  <c r="I261" i="57"/>
  <c r="J261" i="57"/>
  <c r="K261" i="57"/>
  <c r="L261" i="57"/>
  <c r="M261" i="57"/>
  <c r="G262" i="57"/>
  <c r="H262" i="57"/>
  <c r="I262" i="57"/>
  <c r="J262" i="57"/>
  <c r="K262" i="57"/>
  <c r="L262" i="57"/>
  <c r="M262" i="57"/>
  <c r="G263" i="57"/>
  <c r="H263" i="57"/>
  <c r="I263" i="57"/>
  <c r="J263" i="57"/>
  <c r="K263" i="57"/>
  <c r="L263" i="57"/>
  <c r="M263" i="57"/>
  <c r="G264" i="57"/>
  <c r="H264" i="57"/>
  <c r="I264" i="57"/>
  <c r="J264" i="57"/>
  <c r="K264" i="57"/>
  <c r="L264" i="57"/>
  <c r="M264" i="57"/>
  <c r="G268" i="57"/>
  <c r="H268" i="57"/>
  <c r="I268" i="57"/>
  <c r="J268" i="57"/>
  <c r="K268" i="57"/>
  <c r="L268" i="57"/>
  <c r="M268" i="57"/>
  <c r="G269" i="57"/>
  <c r="H269" i="57"/>
  <c r="I269" i="57"/>
  <c r="J269" i="57"/>
  <c r="K269" i="57"/>
  <c r="L269" i="57"/>
  <c r="M269" i="57"/>
  <c r="G270" i="57"/>
  <c r="H270" i="57"/>
  <c r="I270" i="57"/>
  <c r="J270" i="57"/>
  <c r="K270" i="57"/>
  <c r="L270" i="57"/>
  <c r="M270" i="57"/>
  <c r="G271" i="57"/>
  <c r="H271" i="57"/>
  <c r="I271" i="57"/>
  <c r="J271" i="57"/>
  <c r="K271" i="57"/>
  <c r="L271" i="57"/>
  <c r="M271" i="57"/>
  <c r="G272" i="57"/>
  <c r="H272" i="57"/>
  <c r="I272" i="57"/>
  <c r="J272" i="57"/>
  <c r="K272" i="57"/>
  <c r="L272" i="57"/>
  <c r="M272" i="57"/>
  <c r="G275" i="57"/>
  <c r="H275" i="57"/>
  <c r="I275" i="57"/>
  <c r="J275" i="57"/>
  <c r="K275" i="57"/>
  <c r="L275" i="57"/>
  <c r="M275" i="57"/>
  <c r="G276" i="57"/>
  <c r="H276" i="57"/>
  <c r="I276" i="57"/>
  <c r="J276" i="57"/>
  <c r="K276" i="57"/>
  <c r="L276" i="57"/>
  <c r="M276" i="57"/>
  <c r="G277" i="57"/>
  <c r="H277" i="57"/>
  <c r="I277" i="57"/>
  <c r="J277" i="57"/>
  <c r="K277" i="57"/>
  <c r="L277" i="57"/>
  <c r="M277" i="57"/>
  <c r="G278" i="57"/>
  <c r="H278" i="57"/>
  <c r="I278" i="57"/>
  <c r="J278" i="57"/>
  <c r="K278" i="57"/>
  <c r="L278" i="57"/>
  <c r="M278" i="57"/>
  <c r="G279" i="57"/>
  <c r="H279" i="57"/>
  <c r="I279" i="57"/>
  <c r="J279" i="57"/>
  <c r="K279" i="57"/>
  <c r="L279" i="57"/>
  <c r="M279" i="57"/>
  <c r="G282" i="57"/>
  <c r="H282" i="57"/>
  <c r="I282" i="57"/>
  <c r="J282" i="57"/>
  <c r="K282" i="57"/>
  <c r="L282" i="57"/>
  <c r="M282" i="57"/>
  <c r="G283" i="57"/>
  <c r="H283" i="57"/>
  <c r="I283" i="57"/>
  <c r="J283" i="57"/>
  <c r="K283" i="57"/>
  <c r="L283" i="57"/>
  <c r="M283" i="57"/>
  <c r="G284" i="57"/>
  <c r="H284" i="57"/>
  <c r="I284" i="57"/>
  <c r="J284" i="57"/>
  <c r="K284" i="57"/>
  <c r="L284" i="57"/>
  <c r="M284" i="57"/>
  <c r="G285" i="57"/>
  <c r="H285" i="57"/>
  <c r="I285" i="57"/>
  <c r="J285" i="57"/>
  <c r="K285" i="57"/>
  <c r="L285" i="57"/>
  <c r="M285" i="57"/>
  <c r="G286" i="57"/>
  <c r="H286" i="57"/>
  <c r="I286" i="57"/>
  <c r="J286" i="57"/>
  <c r="K286" i="57"/>
  <c r="L286" i="57"/>
  <c r="M286" i="57"/>
  <c r="G290" i="57"/>
  <c r="H290" i="57"/>
  <c r="I290" i="57"/>
  <c r="J290" i="57"/>
  <c r="K290" i="57"/>
  <c r="L290" i="57"/>
  <c r="M290" i="57"/>
  <c r="G291" i="57"/>
  <c r="H291" i="57"/>
  <c r="I291" i="57"/>
  <c r="J291" i="57"/>
  <c r="K291" i="57"/>
  <c r="L291" i="57"/>
  <c r="M291" i="57"/>
  <c r="G292" i="57"/>
  <c r="H292" i="57"/>
  <c r="I292" i="57"/>
  <c r="J292" i="57"/>
  <c r="K292" i="57"/>
  <c r="L292" i="57"/>
  <c r="M292" i="57"/>
  <c r="G293" i="57"/>
  <c r="H293" i="57"/>
  <c r="I293" i="57"/>
  <c r="J293" i="57"/>
  <c r="K293" i="57"/>
  <c r="L293" i="57"/>
  <c r="M293" i="57"/>
  <c r="G294" i="57"/>
  <c r="H294" i="57"/>
  <c r="I294" i="57"/>
  <c r="J294" i="57"/>
  <c r="K294" i="57"/>
  <c r="L294" i="57"/>
  <c r="M294" i="57"/>
  <c r="G297" i="57"/>
  <c r="H297" i="57"/>
  <c r="I297" i="57"/>
  <c r="J297" i="57"/>
  <c r="K297" i="57"/>
  <c r="L297" i="57"/>
  <c r="M297" i="57"/>
  <c r="G298" i="57"/>
  <c r="H298" i="57"/>
  <c r="I298" i="57"/>
  <c r="J298" i="57"/>
  <c r="K298" i="57"/>
  <c r="L298" i="57"/>
  <c r="M298" i="57"/>
  <c r="G299" i="57"/>
  <c r="H299" i="57"/>
  <c r="I299" i="57"/>
  <c r="J299" i="57"/>
  <c r="K299" i="57"/>
  <c r="L299" i="57"/>
  <c r="M299" i="57"/>
  <c r="G300" i="57"/>
  <c r="H300" i="57"/>
  <c r="I300" i="57"/>
  <c r="J300" i="57"/>
  <c r="K300" i="57"/>
  <c r="L300" i="57"/>
  <c r="M300" i="57"/>
  <c r="G301" i="57"/>
  <c r="H301" i="57"/>
  <c r="I301" i="57"/>
  <c r="J301" i="57"/>
  <c r="K301" i="57"/>
  <c r="L301" i="57"/>
  <c r="M301" i="57"/>
  <c r="G304" i="57"/>
  <c r="H304" i="57"/>
  <c r="I304" i="57"/>
  <c r="J304" i="57"/>
  <c r="K304" i="57"/>
  <c r="L304" i="57"/>
  <c r="M304" i="57"/>
  <c r="G305" i="57"/>
  <c r="H305" i="57"/>
  <c r="I305" i="57"/>
  <c r="J305" i="57"/>
  <c r="K305" i="57"/>
  <c r="L305" i="57"/>
  <c r="M305" i="57"/>
  <c r="G306" i="57"/>
  <c r="H306" i="57"/>
  <c r="I306" i="57"/>
  <c r="J306" i="57"/>
  <c r="K306" i="57"/>
  <c r="L306" i="57"/>
  <c r="M306" i="57"/>
  <c r="G307" i="57"/>
  <c r="H307" i="57"/>
  <c r="I307" i="57"/>
  <c r="J307" i="57"/>
  <c r="K307" i="57"/>
  <c r="L307" i="57"/>
  <c r="M307" i="57"/>
  <c r="G308" i="57"/>
  <c r="H308" i="57"/>
  <c r="I308" i="57"/>
  <c r="J308" i="57"/>
  <c r="K308" i="57"/>
  <c r="L308" i="57"/>
  <c r="M308" i="57"/>
  <c r="G312" i="57"/>
  <c r="H312" i="57"/>
  <c r="I312" i="57"/>
  <c r="J312" i="57"/>
  <c r="K312" i="57"/>
  <c r="L312" i="57"/>
  <c r="M312" i="57"/>
  <c r="G313" i="57"/>
  <c r="H313" i="57"/>
  <c r="I313" i="57"/>
  <c r="J313" i="57"/>
  <c r="K313" i="57"/>
  <c r="L313" i="57"/>
  <c r="M313" i="57"/>
  <c r="G314" i="57"/>
  <c r="H314" i="57"/>
  <c r="I314" i="57"/>
  <c r="J314" i="57"/>
  <c r="K314" i="57"/>
  <c r="L314" i="57"/>
  <c r="M314" i="57"/>
  <c r="G315" i="57"/>
  <c r="H315" i="57"/>
  <c r="I315" i="57"/>
  <c r="J315" i="57"/>
  <c r="K315" i="57"/>
  <c r="L315" i="57"/>
  <c r="M315" i="57"/>
  <c r="G316" i="57"/>
  <c r="H316" i="57"/>
  <c r="I316" i="57"/>
  <c r="J316" i="57"/>
  <c r="K316" i="57"/>
  <c r="L316" i="57"/>
  <c r="M316" i="57"/>
  <c r="G319" i="57"/>
  <c r="H319" i="57"/>
  <c r="I319" i="57"/>
  <c r="J319" i="57"/>
  <c r="K319" i="57"/>
  <c r="L319" i="57"/>
  <c r="M319" i="57"/>
  <c r="G320" i="57"/>
  <c r="H320" i="57"/>
  <c r="I320" i="57"/>
  <c r="J320" i="57"/>
  <c r="K320" i="57"/>
  <c r="L320" i="57"/>
  <c r="M320" i="57"/>
  <c r="G321" i="57"/>
  <c r="H321" i="57"/>
  <c r="I321" i="57"/>
  <c r="J321" i="57"/>
  <c r="K321" i="57"/>
  <c r="L321" i="57"/>
  <c r="M321" i="57"/>
  <c r="G322" i="57"/>
  <c r="H322" i="57"/>
  <c r="I322" i="57"/>
  <c r="J322" i="57"/>
  <c r="K322" i="57"/>
  <c r="L322" i="57"/>
  <c r="M322" i="57"/>
  <c r="G323" i="57"/>
  <c r="H323" i="57"/>
  <c r="I323" i="57"/>
  <c r="J323" i="57"/>
  <c r="K323" i="57"/>
  <c r="L323" i="57"/>
  <c r="M323" i="57"/>
  <c r="G326" i="57"/>
  <c r="H326" i="57"/>
  <c r="I326" i="57"/>
  <c r="J326" i="57"/>
  <c r="K326" i="57"/>
  <c r="L326" i="57"/>
  <c r="M326" i="57"/>
  <c r="G327" i="57"/>
  <c r="H327" i="57"/>
  <c r="I327" i="57"/>
  <c r="J327" i="57"/>
  <c r="K327" i="57"/>
  <c r="L327" i="57"/>
  <c r="M327" i="57"/>
  <c r="G328" i="57"/>
  <c r="H328" i="57"/>
  <c r="I328" i="57"/>
  <c r="J328" i="57"/>
  <c r="K328" i="57"/>
  <c r="L328" i="57"/>
  <c r="M328" i="57"/>
  <c r="G329" i="57"/>
  <c r="H329" i="57"/>
  <c r="I329" i="57"/>
  <c r="J329" i="57"/>
  <c r="K329" i="57"/>
  <c r="L329" i="57"/>
  <c r="M329" i="57"/>
  <c r="G330" i="57"/>
  <c r="H330" i="57"/>
  <c r="I330" i="57"/>
  <c r="J330" i="57"/>
  <c r="K330" i="57"/>
  <c r="L330" i="57"/>
  <c r="M330" i="57"/>
  <c r="G334" i="57"/>
  <c r="H334" i="57"/>
  <c r="I334" i="57"/>
  <c r="J334" i="57"/>
  <c r="K334" i="57"/>
  <c r="L334" i="57"/>
  <c r="M334" i="57"/>
  <c r="G335" i="57"/>
  <c r="H335" i="57"/>
  <c r="I335" i="57"/>
  <c r="J335" i="57"/>
  <c r="K335" i="57"/>
  <c r="L335" i="57"/>
  <c r="M335" i="57"/>
  <c r="G336" i="57"/>
  <c r="H336" i="57"/>
  <c r="I336" i="57"/>
  <c r="J336" i="57"/>
  <c r="K336" i="57"/>
  <c r="L336" i="57"/>
  <c r="M336" i="57"/>
  <c r="G337" i="57"/>
  <c r="H337" i="57"/>
  <c r="I337" i="57"/>
  <c r="J337" i="57"/>
  <c r="K337" i="57"/>
  <c r="L337" i="57"/>
  <c r="M337" i="57"/>
  <c r="G338" i="57"/>
  <c r="H338" i="57"/>
  <c r="I338" i="57"/>
  <c r="J338" i="57"/>
  <c r="K338" i="57"/>
  <c r="L338" i="57"/>
  <c r="M338" i="57"/>
  <c r="G341" i="57"/>
  <c r="H341" i="57"/>
  <c r="I341" i="57"/>
  <c r="J341" i="57"/>
  <c r="K341" i="57"/>
  <c r="L341" i="57"/>
  <c r="M341" i="57"/>
  <c r="G342" i="57"/>
  <c r="H342" i="57"/>
  <c r="I342" i="57"/>
  <c r="J342" i="57"/>
  <c r="K342" i="57"/>
  <c r="L342" i="57"/>
  <c r="M342" i="57"/>
  <c r="G343" i="57"/>
  <c r="H343" i="57"/>
  <c r="I343" i="57"/>
  <c r="J343" i="57"/>
  <c r="K343" i="57"/>
  <c r="L343" i="57"/>
  <c r="M343" i="57"/>
  <c r="G344" i="57"/>
  <c r="H344" i="57"/>
  <c r="I344" i="57"/>
  <c r="J344" i="57"/>
  <c r="K344" i="57"/>
  <c r="L344" i="57"/>
  <c r="M344" i="57"/>
  <c r="G345" i="57"/>
  <c r="H345" i="57"/>
  <c r="I345" i="57"/>
  <c r="J345" i="57"/>
  <c r="K345" i="57"/>
  <c r="L345" i="57"/>
  <c r="M345" i="57"/>
  <c r="G348" i="57"/>
  <c r="H348" i="57"/>
  <c r="I348" i="57"/>
  <c r="J348" i="57"/>
  <c r="K348" i="57"/>
  <c r="L348" i="57"/>
  <c r="M348" i="57"/>
  <c r="G349" i="57"/>
  <c r="H349" i="57"/>
  <c r="I349" i="57"/>
  <c r="J349" i="57"/>
  <c r="K349" i="57"/>
  <c r="L349" i="57"/>
  <c r="M349" i="57"/>
  <c r="G350" i="57"/>
  <c r="H350" i="57"/>
  <c r="I350" i="57"/>
  <c r="J350" i="57"/>
  <c r="K350" i="57"/>
  <c r="L350" i="57"/>
  <c r="M350" i="57"/>
  <c r="G351" i="57"/>
  <c r="H351" i="57"/>
  <c r="I351" i="57"/>
  <c r="J351" i="57"/>
  <c r="K351" i="57"/>
  <c r="L351" i="57"/>
  <c r="M351" i="57"/>
  <c r="G352" i="57"/>
  <c r="H352" i="57"/>
  <c r="I352" i="57"/>
  <c r="J352" i="57"/>
  <c r="K352" i="57"/>
  <c r="L352" i="57"/>
  <c r="M352" i="57"/>
  <c r="G355" i="57"/>
  <c r="H355" i="57"/>
  <c r="I355" i="57"/>
  <c r="J355" i="57"/>
  <c r="K355" i="57"/>
  <c r="L355" i="57"/>
  <c r="M355" i="57"/>
  <c r="G356" i="57"/>
  <c r="H356" i="57"/>
  <c r="I356" i="57"/>
  <c r="J356" i="57"/>
  <c r="K356" i="57"/>
  <c r="L356" i="57"/>
  <c r="M356" i="57"/>
  <c r="G357" i="57"/>
  <c r="H357" i="57"/>
  <c r="I357" i="57"/>
  <c r="J357" i="57"/>
  <c r="K357" i="57"/>
  <c r="L357" i="57"/>
  <c r="M357" i="57"/>
  <c r="G358" i="57"/>
  <c r="H358" i="57"/>
  <c r="I358" i="57"/>
  <c r="J358" i="57"/>
  <c r="K358" i="57"/>
  <c r="L358" i="57"/>
  <c r="M358" i="57"/>
  <c r="G359" i="57"/>
  <c r="H359" i="57"/>
  <c r="I359" i="57"/>
  <c r="J359" i="57"/>
  <c r="K359" i="57"/>
  <c r="L359" i="57"/>
  <c r="M359" i="57"/>
  <c r="G363" i="57"/>
  <c r="H363" i="57"/>
  <c r="I363" i="57"/>
  <c r="J363" i="57"/>
  <c r="K363" i="57"/>
  <c r="L363" i="57"/>
  <c r="M363" i="57"/>
  <c r="G364" i="57"/>
  <c r="H364" i="57"/>
  <c r="I364" i="57"/>
  <c r="J364" i="57"/>
  <c r="K364" i="57"/>
  <c r="L364" i="57"/>
  <c r="M364" i="57"/>
  <c r="G365" i="57"/>
  <c r="H365" i="57"/>
  <c r="I365" i="57"/>
  <c r="J365" i="57"/>
  <c r="K365" i="57"/>
  <c r="L365" i="57"/>
  <c r="M365" i="57"/>
  <c r="G366" i="57"/>
  <c r="H366" i="57"/>
  <c r="I366" i="57"/>
  <c r="J366" i="57"/>
  <c r="K366" i="57"/>
  <c r="L366" i="57"/>
  <c r="M366" i="57"/>
  <c r="G367" i="57"/>
  <c r="H367" i="57"/>
  <c r="I367" i="57"/>
  <c r="J367" i="57"/>
  <c r="K367" i="57"/>
  <c r="L367" i="57"/>
  <c r="M367" i="57"/>
  <c r="G370" i="57"/>
  <c r="H370" i="57"/>
  <c r="I370" i="57"/>
  <c r="J370" i="57"/>
  <c r="K370" i="57"/>
  <c r="L370" i="57"/>
  <c r="M370" i="57"/>
  <c r="G371" i="57"/>
  <c r="H371" i="57"/>
  <c r="I371" i="57"/>
  <c r="J371" i="57"/>
  <c r="K371" i="57"/>
  <c r="L371" i="57"/>
  <c r="M371" i="57"/>
  <c r="G372" i="57"/>
  <c r="H372" i="57"/>
  <c r="I372" i="57"/>
  <c r="J372" i="57"/>
  <c r="K372" i="57"/>
  <c r="L372" i="57"/>
  <c r="M372" i="57"/>
  <c r="G374" i="57"/>
  <c r="H374" i="57"/>
  <c r="I374" i="57"/>
  <c r="J374" i="57"/>
  <c r="K374" i="57"/>
  <c r="L374" i="57"/>
  <c r="M374" i="57"/>
  <c r="G405" i="57"/>
  <c r="H405" i="57"/>
  <c r="I405" i="57"/>
  <c r="J405" i="57"/>
  <c r="K405" i="57"/>
  <c r="L405" i="57"/>
  <c r="M405" i="57"/>
  <c r="G406" i="57"/>
  <c r="H406" i="57"/>
  <c r="I406" i="57"/>
  <c r="J406" i="57"/>
  <c r="K406" i="57"/>
  <c r="L406" i="57"/>
  <c r="M406" i="57"/>
  <c r="G407" i="57"/>
  <c r="H407" i="57"/>
  <c r="I407" i="57"/>
  <c r="J407" i="57"/>
  <c r="K407" i="57"/>
  <c r="L407" i="57"/>
  <c r="M407" i="57"/>
  <c r="G408" i="57"/>
  <c r="H408" i="57"/>
  <c r="I408" i="57"/>
  <c r="J408" i="57"/>
  <c r="K408" i="57"/>
  <c r="L408" i="57"/>
  <c r="M408" i="57"/>
  <c r="G409" i="57"/>
  <c r="H409" i="57"/>
  <c r="I409" i="57"/>
  <c r="J409" i="57"/>
  <c r="K409" i="57"/>
  <c r="L409" i="57"/>
  <c r="M409" i="57"/>
  <c r="G412" i="57"/>
  <c r="H412" i="57"/>
  <c r="I412" i="57"/>
  <c r="J412" i="57"/>
  <c r="K412" i="57"/>
  <c r="L412" i="57"/>
  <c r="M412" i="57"/>
  <c r="G413" i="57"/>
  <c r="H413" i="57"/>
  <c r="I413" i="57"/>
  <c r="J413" i="57"/>
  <c r="K413" i="57"/>
  <c r="L413" i="57"/>
  <c r="M413" i="57"/>
  <c r="G414" i="57"/>
  <c r="H414" i="57"/>
  <c r="I414" i="57"/>
  <c r="J414" i="57"/>
  <c r="K414" i="57"/>
  <c r="L414" i="57"/>
  <c r="M414" i="57"/>
  <c r="G415" i="57"/>
  <c r="H415" i="57"/>
  <c r="I415" i="57"/>
  <c r="J415" i="57"/>
  <c r="K415" i="57"/>
  <c r="L415" i="57"/>
  <c r="M415" i="57"/>
  <c r="G416" i="57"/>
  <c r="H416" i="57"/>
  <c r="I416" i="57"/>
  <c r="J416" i="57"/>
  <c r="K416" i="57"/>
  <c r="L416" i="57"/>
  <c r="M416" i="57"/>
  <c r="G420" i="57"/>
  <c r="H420" i="57"/>
  <c r="I420" i="57"/>
  <c r="J420" i="57"/>
  <c r="K420" i="57"/>
  <c r="L420" i="57"/>
  <c r="M420" i="57"/>
  <c r="G421" i="57"/>
  <c r="H421" i="57"/>
  <c r="I421" i="57"/>
  <c r="J421" i="57"/>
  <c r="K421" i="57"/>
  <c r="L421" i="57"/>
  <c r="M421" i="57"/>
  <c r="G422" i="57"/>
  <c r="H422" i="57"/>
  <c r="I422" i="57"/>
  <c r="J422" i="57"/>
  <c r="K422" i="57"/>
  <c r="L422" i="57"/>
  <c r="M422" i="57"/>
  <c r="G423" i="57"/>
  <c r="H423" i="57"/>
  <c r="I423" i="57"/>
  <c r="J423" i="57"/>
  <c r="K423" i="57"/>
  <c r="L423" i="57"/>
  <c r="M423" i="57"/>
  <c r="G424" i="57"/>
  <c r="H424" i="57"/>
  <c r="I424" i="57"/>
  <c r="J424" i="57"/>
  <c r="K424" i="57"/>
  <c r="L424" i="57"/>
  <c r="M424" i="57"/>
  <c r="G444" i="57"/>
  <c r="H444" i="57"/>
  <c r="I444" i="57"/>
  <c r="J444" i="57"/>
  <c r="K444" i="57"/>
  <c r="L444" i="57"/>
  <c r="M444" i="57"/>
  <c r="G445" i="57"/>
  <c r="H445" i="57"/>
  <c r="I445" i="57"/>
  <c r="J445" i="57"/>
  <c r="K445" i="57"/>
  <c r="L445" i="57"/>
  <c r="M445" i="57"/>
  <c r="G446" i="57"/>
  <c r="H446" i="57"/>
  <c r="I446" i="57"/>
  <c r="J446" i="57"/>
  <c r="K446" i="57"/>
  <c r="L446" i="57"/>
  <c r="M446" i="57"/>
  <c r="G447" i="57"/>
  <c r="H447" i="57"/>
  <c r="I447" i="57"/>
  <c r="J447" i="57"/>
  <c r="K447" i="57"/>
  <c r="L447" i="57"/>
  <c r="M447" i="57"/>
  <c r="G448" i="57"/>
  <c r="H448" i="57"/>
  <c r="I448" i="57"/>
  <c r="J448" i="57"/>
  <c r="K448" i="57"/>
  <c r="L448" i="57"/>
  <c r="M448" i="57"/>
  <c r="G452" i="57"/>
  <c r="H452" i="57"/>
  <c r="I452" i="57"/>
  <c r="J452" i="57"/>
  <c r="K452" i="57"/>
  <c r="L452" i="57"/>
  <c r="M452" i="57"/>
  <c r="G453" i="57"/>
  <c r="H453" i="57"/>
  <c r="I453" i="57"/>
  <c r="J453" i="57"/>
  <c r="K453" i="57"/>
  <c r="L453" i="57"/>
  <c r="M453" i="57"/>
  <c r="G454" i="57"/>
  <c r="H454" i="57"/>
  <c r="I454" i="57"/>
  <c r="J454" i="57"/>
  <c r="K454" i="57"/>
  <c r="L454" i="57"/>
  <c r="M454" i="57"/>
  <c r="G455" i="57"/>
  <c r="H455" i="57"/>
  <c r="I455" i="57"/>
  <c r="J455" i="57"/>
  <c r="K455" i="57"/>
  <c r="L455" i="57"/>
  <c r="M455" i="57"/>
  <c r="G456" i="57"/>
  <c r="H456" i="57"/>
  <c r="I456" i="57"/>
  <c r="J456" i="57"/>
  <c r="K456" i="57"/>
  <c r="L456" i="57"/>
  <c r="M456" i="57"/>
  <c r="G466" i="57"/>
  <c r="H466" i="57"/>
  <c r="I466" i="57"/>
  <c r="J466" i="57"/>
  <c r="K466" i="57"/>
  <c r="L466" i="57"/>
  <c r="M466" i="57"/>
  <c r="G467" i="57"/>
  <c r="H467" i="57"/>
  <c r="I467" i="57"/>
  <c r="J467" i="57"/>
  <c r="K467" i="57"/>
  <c r="L467" i="57"/>
  <c r="M467" i="57"/>
  <c r="G468" i="57"/>
  <c r="H468" i="57"/>
  <c r="I468" i="57"/>
  <c r="J468" i="57"/>
  <c r="K468" i="57"/>
  <c r="L468" i="57"/>
  <c r="M468" i="57"/>
  <c r="G469" i="57"/>
  <c r="H469" i="57"/>
  <c r="I469" i="57"/>
  <c r="J469" i="57"/>
  <c r="K469" i="57"/>
  <c r="L469" i="57"/>
  <c r="M469" i="57"/>
  <c r="G470" i="57"/>
  <c r="H470" i="57"/>
  <c r="I470" i="57"/>
  <c r="J470" i="57"/>
  <c r="K470" i="57"/>
  <c r="L470" i="57"/>
  <c r="M470" i="57"/>
  <c r="G474" i="57"/>
  <c r="H474" i="57"/>
  <c r="I474" i="57"/>
  <c r="J474" i="57"/>
  <c r="K474" i="57"/>
  <c r="L474" i="57"/>
  <c r="M474" i="57"/>
  <c r="G475" i="57"/>
  <c r="H475" i="57"/>
  <c r="I475" i="57"/>
  <c r="J475" i="57"/>
  <c r="K475" i="57"/>
  <c r="L475" i="57"/>
  <c r="M475" i="57"/>
  <c r="G476" i="57"/>
  <c r="H476" i="57"/>
  <c r="I476" i="57"/>
  <c r="J476" i="57"/>
  <c r="K476" i="57"/>
  <c r="L476" i="57"/>
  <c r="M476" i="57"/>
  <c r="G477" i="57"/>
  <c r="H477" i="57"/>
  <c r="I477" i="57"/>
  <c r="J477" i="57"/>
  <c r="K477" i="57"/>
  <c r="L477" i="57"/>
  <c r="M477" i="57"/>
  <c r="G478" i="57"/>
  <c r="H478" i="57"/>
  <c r="I478" i="57"/>
  <c r="J478" i="57"/>
  <c r="K478" i="57"/>
  <c r="L478" i="57"/>
  <c r="M478" i="57"/>
  <c r="G481" i="57"/>
  <c r="H481" i="57"/>
  <c r="I481" i="57"/>
  <c r="J481" i="57"/>
  <c r="K481" i="57"/>
  <c r="L481" i="57"/>
  <c r="M481" i="57"/>
  <c r="G482" i="57"/>
  <c r="H482" i="57"/>
  <c r="I482" i="57"/>
  <c r="J482" i="57"/>
  <c r="K482" i="57"/>
  <c r="L482" i="57"/>
  <c r="M482" i="57"/>
  <c r="G483" i="57"/>
  <c r="H483" i="57"/>
  <c r="I483" i="57"/>
  <c r="J483" i="57"/>
  <c r="K483" i="57"/>
  <c r="L483" i="57"/>
  <c r="M483" i="57"/>
  <c r="G484" i="57"/>
  <c r="H484" i="57"/>
  <c r="I484" i="57"/>
  <c r="J484" i="57"/>
  <c r="K484" i="57"/>
  <c r="L484" i="57"/>
  <c r="M484" i="57"/>
  <c r="G485" i="57"/>
  <c r="H485" i="57"/>
  <c r="I485" i="57"/>
  <c r="J485" i="57"/>
  <c r="K485" i="57"/>
  <c r="L485" i="57"/>
  <c r="M485" i="57"/>
  <c r="G488" i="57"/>
  <c r="H488" i="57"/>
  <c r="I488" i="57"/>
  <c r="J488" i="57"/>
  <c r="K488" i="57"/>
  <c r="L488" i="57"/>
  <c r="M488" i="57"/>
  <c r="G489" i="57"/>
  <c r="H489" i="57"/>
  <c r="I489" i="57"/>
  <c r="J489" i="57"/>
  <c r="K489" i="57"/>
  <c r="L489" i="57"/>
  <c r="M489" i="57"/>
  <c r="G490" i="57"/>
  <c r="H490" i="57"/>
  <c r="I490" i="57"/>
  <c r="J490" i="57"/>
  <c r="K490" i="57"/>
  <c r="L490" i="57"/>
  <c r="M490" i="57"/>
  <c r="G491" i="57"/>
  <c r="H491" i="57"/>
  <c r="I491" i="57"/>
  <c r="J491" i="57"/>
  <c r="K491" i="57"/>
  <c r="L491" i="57"/>
  <c r="M491" i="57"/>
  <c r="G492" i="57"/>
  <c r="H492" i="57"/>
  <c r="I492" i="57"/>
  <c r="J492" i="57"/>
  <c r="K492" i="57"/>
  <c r="L492" i="57"/>
  <c r="M492" i="57"/>
  <c r="G495" i="57"/>
  <c r="H495" i="57"/>
  <c r="I495" i="57"/>
  <c r="J495" i="57"/>
  <c r="K495" i="57"/>
  <c r="L495" i="57"/>
  <c r="M495" i="57"/>
  <c r="G496" i="57"/>
  <c r="H496" i="57"/>
  <c r="I496" i="57"/>
  <c r="J496" i="57"/>
  <c r="K496" i="57"/>
  <c r="L496" i="57"/>
  <c r="M496" i="57"/>
  <c r="G497" i="57"/>
  <c r="H497" i="57"/>
  <c r="I497" i="57"/>
  <c r="J497" i="57"/>
  <c r="K497" i="57"/>
  <c r="L497" i="57"/>
  <c r="M497" i="57"/>
  <c r="G498" i="57"/>
  <c r="H498" i="57"/>
  <c r="I498" i="57"/>
  <c r="J498" i="57"/>
  <c r="K498" i="57"/>
  <c r="L498" i="57"/>
  <c r="M498" i="57"/>
  <c r="G499" i="57"/>
  <c r="H499" i="57"/>
  <c r="I499" i="57"/>
  <c r="J499" i="57"/>
  <c r="K499" i="57"/>
  <c r="L499" i="57"/>
  <c r="M499" i="57"/>
  <c r="G502" i="57"/>
  <c r="H502" i="57"/>
  <c r="I502" i="57"/>
  <c r="J502" i="57"/>
  <c r="K502" i="57"/>
  <c r="L502" i="57"/>
  <c r="M502" i="57"/>
  <c r="G503" i="57"/>
  <c r="H503" i="57"/>
  <c r="I503" i="57"/>
  <c r="J503" i="57"/>
  <c r="K503" i="57"/>
  <c r="L503" i="57"/>
  <c r="M503" i="57"/>
  <c r="G504" i="57"/>
  <c r="H504" i="57"/>
  <c r="I504" i="57"/>
  <c r="J504" i="57"/>
  <c r="K504" i="57"/>
  <c r="L504" i="57"/>
  <c r="M504" i="57"/>
  <c r="G505" i="57"/>
  <c r="H505" i="57"/>
  <c r="I505" i="57"/>
  <c r="J505" i="57"/>
  <c r="K505" i="57"/>
  <c r="L505" i="57"/>
  <c r="M505" i="57"/>
  <c r="G506" i="57"/>
  <c r="H506" i="57"/>
  <c r="I506" i="57"/>
  <c r="J506" i="57"/>
  <c r="K506" i="57"/>
  <c r="L506" i="57"/>
  <c r="M506" i="57"/>
  <c r="G510" i="57"/>
  <c r="H510" i="57"/>
  <c r="I510" i="57"/>
  <c r="J510" i="57"/>
  <c r="K510" i="57"/>
  <c r="L510" i="57"/>
  <c r="M510" i="57"/>
  <c r="G511" i="57"/>
  <c r="H511" i="57"/>
  <c r="I511" i="57"/>
  <c r="J511" i="57"/>
  <c r="K511" i="57"/>
  <c r="L511" i="57"/>
  <c r="M511" i="57"/>
  <c r="G512" i="57"/>
  <c r="H512" i="57"/>
  <c r="I512" i="57"/>
  <c r="J512" i="57"/>
  <c r="K512" i="57"/>
  <c r="L512" i="57"/>
  <c r="M512" i="57"/>
  <c r="G515" i="57"/>
  <c r="H515" i="57"/>
  <c r="I515" i="57"/>
  <c r="J515" i="57"/>
  <c r="K515" i="57"/>
  <c r="L515" i="57"/>
  <c r="M515" i="57"/>
  <c r="G516" i="57"/>
  <c r="H516" i="57"/>
  <c r="I516" i="57"/>
  <c r="J516" i="57"/>
  <c r="K516" i="57"/>
  <c r="L516" i="57"/>
  <c r="M516" i="57"/>
  <c r="G517" i="57"/>
  <c r="H517" i="57"/>
  <c r="I517" i="57"/>
  <c r="J517" i="57"/>
  <c r="K517" i="57"/>
  <c r="L517" i="57"/>
  <c r="M517" i="57"/>
  <c r="G520" i="57"/>
  <c r="H520" i="57"/>
  <c r="I520" i="57"/>
  <c r="J520" i="57"/>
  <c r="K520" i="57"/>
  <c r="L520" i="57"/>
  <c r="M520" i="57"/>
  <c r="G521" i="57"/>
  <c r="H521" i="57"/>
  <c r="I521" i="57"/>
  <c r="J521" i="57"/>
  <c r="K521" i="57"/>
  <c r="L521" i="57"/>
  <c r="M521" i="57"/>
  <c r="G522" i="57"/>
  <c r="H522" i="57"/>
  <c r="I522" i="57"/>
  <c r="J522" i="57"/>
  <c r="K522" i="57"/>
  <c r="L522" i="57"/>
  <c r="M522" i="57"/>
  <c r="G523" i="57"/>
  <c r="H523" i="57"/>
  <c r="I523" i="57"/>
  <c r="J523" i="57"/>
  <c r="K523" i="57"/>
  <c r="L523" i="57"/>
  <c r="M523" i="57"/>
  <c r="G524" i="57"/>
  <c r="H524" i="57"/>
  <c r="I524" i="57"/>
  <c r="J524" i="57"/>
  <c r="K524" i="57"/>
  <c r="L524" i="57"/>
  <c r="M524" i="57"/>
  <c r="G527" i="57"/>
  <c r="H527" i="57"/>
  <c r="I527" i="57"/>
  <c r="J527" i="57"/>
  <c r="K527" i="57"/>
  <c r="L527" i="57"/>
  <c r="M527" i="57"/>
  <c r="G528" i="57"/>
  <c r="H528" i="57"/>
  <c r="I528" i="57"/>
  <c r="J528" i="57"/>
  <c r="K528" i="57"/>
  <c r="L528" i="57"/>
  <c r="M528" i="57"/>
  <c r="G530" i="57"/>
  <c r="H530" i="57"/>
  <c r="I530" i="57"/>
  <c r="J530" i="57"/>
  <c r="K530" i="57"/>
  <c r="L530" i="57"/>
  <c r="M530" i="57"/>
  <c r="G531" i="57"/>
  <c r="H531" i="57"/>
  <c r="I531" i="57"/>
  <c r="J531" i="57"/>
  <c r="K531" i="57"/>
  <c r="L531" i="57"/>
  <c r="M531" i="57"/>
  <c r="G537" i="57"/>
  <c r="H537" i="57"/>
  <c r="I537" i="57"/>
  <c r="J537" i="57"/>
  <c r="K537" i="57"/>
  <c r="L537" i="57"/>
  <c r="M537" i="57"/>
  <c r="G538" i="57"/>
  <c r="H538" i="57"/>
  <c r="I538" i="57"/>
  <c r="J538" i="57"/>
  <c r="K538" i="57"/>
  <c r="L538" i="57"/>
  <c r="M538" i="57"/>
  <c r="G539" i="57"/>
  <c r="H539" i="57"/>
  <c r="I539" i="57"/>
  <c r="J539" i="57"/>
  <c r="K539" i="57"/>
  <c r="L539" i="57"/>
  <c r="M539" i="57"/>
  <c r="G540" i="57"/>
  <c r="H540" i="57"/>
  <c r="I540" i="57"/>
  <c r="J540" i="57"/>
  <c r="K540" i="57"/>
  <c r="L540" i="57"/>
  <c r="M540" i="57"/>
  <c r="G541" i="57"/>
  <c r="H541" i="57"/>
  <c r="I541" i="57"/>
  <c r="J541" i="57"/>
  <c r="K541" i="57"/>
  <c r="L541" i="57"/>
  <c r="M541" i="57"/>
  <c r="G542" i="57"/>
  <c r="H542" i="57"/>
  <c r="I542" i="57"/>
  <c r="J542" i="57"/>
  <c r="K542" i="57"/>
  <c r="L542" i="57"/>
  <c r="M542" i="57"/>
  <c r="G543" i="57"/>
  <c r="H543" i="57"/>
  <c r="I543" i="57"/>
  <c r="J543" i="57"/>
  <c r="K543" i="57"/>
  <c r="L543" i="57"/>
  <c r="M543" i="57"/>
  <c r="G544" i="57"/>
  <c r="H544" i="57"/>
  <c r="I544" i="57"/>
  <c r="J544" i="57"/>
  <c r="K544" i="57"/>
  <c r="L544" i="57"/>
  <c r="M544" i="57"/>
  <c r="G545" i="57"/>
  <c r="H545" i="57"/>
  <c r="I545" i="57"/>
  <c r="J545" i="57"/>
  <c r="K545" i="57"/>
  <c r="L545" i="57"/>
  <c r="M545" i="57"/>
  <c r="G546" i="57"/>
  <c r="H546" i="57"/>
  <c r="I546" i="57"/>
  <c r="J546" i="57"/>
  <c r="K546" i="57"/>
  <c r="L546" i="57"/>
  <c r="M546" i="57"/>
  <c r="G547" i="57"/>
  <c r="H547" i="57"/>
  <c r="I547" i="57"/>
  <c r="J547" i="57"/>
  <c r="K547" i="57"/>
  <c r="L547" i="57"/>
  <c r="M547" i="57"/>
  <c r="G551" i="57"/>
  <c r="H551" i="57"/>
  <c r="I551" i="57"/>
  <c r="J551" i="57"/>
  <c r="K551" i="57"/>
  <c r="L551" i="57"/>
  <c r="M551" i="57"/>
  <c r="G552" i="57"/>
  <c r="H552" i="57"/>
  <c r="I552" i="57"/>
  <c r="J552" i="57"/>
  <c r="K552" i="57"/>
  <c r="L552" i="57"/>
  <c r="M552" i="57"/>
  <c r="G553" i="57"/>
  <c r="H553" i="57"/>
  <c r="I553" i="57"/>
  <c r="J553" i="57"/>
  <c r="K553" i="57"/>
  <c r="L553" i="57"/>
  <c r="M553" i="57"/>
  <c r="G554" i="57"/>
  <c r="H554" i="57"/>
  <c r="I554" i="57"/>
  <c r="J554" i="57"/>
  <c r="K554" i="57"/>
  <c r="L554" i="57"/>
  <c r="M554" i="57"/>
  <c r="G557" i="57"/>
  <c r="H557" i="57"/>
  <c r="I557" i="57"/>
  <c r="J557" i="57"/>
  <c r="K557" i="57"/>
  <c r="L557" i="57"/>
  <c r="M557" i="57"/>
  <c r="G558" i="57"/>
  <c r="H558" i="57"/>
  <c r="I558" i="57"/>
  <c r="J558" i="57"/>
  <c r="K558" i="57"/>
  <c r="L558" i="57"/>
  <c r="M558" i="57"/>
  <c r="G559" i="57"/>
  <c r="H559" i="57"/>
  <c r="I559" i="57"/>
  <c r="J559" i="57"/>
  <c r="K559" i="57"/>
  <c r="L559" i="57"/>
  <c r="M559" i="57"/>
  <c r="G560" i="57"/>
  <c r="H560" i="57"/>
  <c r="I560" i="57"/>
  <c r="J560" i="57"/>
  <c r="K560" i="57"/>
  <c r="L560" i="57"/>
  <c r="M560" i="57"/>
  <c r="G561" i="57"/>
  <c r="H561" i="57"/>
  <c r="I561" i="57"/>
  <c r="J561" i="57"/>
  <c r="K561" i="57"/>
  <c r="L561" i="57"/>
  <c r="M561" i="57"/>
  <c r="G562" i="57"/>
  <c r="H562" i="57"/>
  <c r="I562" i="57"/>
  <c r="J562" i="57"/>
  <c r="K562" i="57"/>
  <c r="L562" i="57"/>
  <c r="M562" i="57"/>
  <c r="G563" i="57"/>
  <c r="H563" i="57"/>
  <c r="I563" i="57"/>
  <c r="J563" i="57"/>
  <c r="K563" i="57"/>
  <c r="L563" i="57"/>
  <c r="M563" i="57"/>
  <c r="G564" i="57"/>
  <c r="H564" i="57"/>
  <c r="I564" i="57"/>
  <c r="J564" i="57"/>
  <c r="K564" i="57"/>
  <c r="L564" i="57"/>
  <c r="M564" i="57"/>
  <c r="G565" i="57"/>
  <c r="H565" i="57"/>
  <c r="I565" i="57"/>
  <c r="J565" i="57"/>
  <c r="K565" i="57"/>
  <c r="L565" i="57"/>
  <c r="M565" i="57"/>
  <c r="G568" i="57"/>
  <c r="H568" i="57"/>
  <c r="I568" i="57"/>
  <c r="J568" i="57"/>
  <c r="K568" i="57"/>
  <c r="L568" i="57"/>
  <c r="M568" i="57"/>
  <c r="G569" i="57"/>
  <c r="H569" i="57"/>
  <c r="I569" i="57"/>
  <c r="J569" i="57"/>
  <c r="K569" i="57"/>
  <c r="L569" i="57"/>
  <c r="M569" i="57"/>
  <c r="G570" i="57"/>
  <c r="H570" i="57"/>
  <c r="I570" i="57"/>
  <c r="J570" i="57"/>
  <c r="K570" i="57"/>
  <c r="L570" i="57"/>
  <c r="M570" i="57"/>
  <c r="G571" i="57"/>
  <c r="H571" i="57"/>
  <c r="I571" i="57"/>
  <c r="J571" i="57"/>
  <c r="K571" i="57"/>
  <c r="L571" i="57"/>
  <c r="M571" i="57"/>
  <c r="G572" i="57"/>
  <c r="H572" i="57"/>
  <c r="I572" i="57"/>
  <c r="J572" i="57"/>
  <c r="K572" i="57"/>
  <c r="L572" i="57"/>
  <c r="M572" i="57"/>
  <c r="G573" i="57"/>
  <c r="H573" i="57"/>
  <c r="I573" i="57"/>
  <c r="J573" i="57"/>
  <c r="K573" i="57"/>
  <c r="L573" i="57"/>
  <c r="M573" i="57"/>
  <c r="G574" i="57"/>
  <c r="H574" i="57"/>
  <c r="I574" i="57"/>
  <c r="J574" i="57"/>
  <c r="K574" i="57"/>
  <c r="L574" i="57"/>
  <c r="M574" i="57"/>
  <c r="G575" i="57"/>
  <c r="H575" i="57"/>
  <c r="I575" i="57"/>
  <c r="J575" i="57"/>
  <c r="K575" i="57"/>
  <c r="L575" i="57"/>
  <c r="M575" i="57"/>
  <c r="G576" i="57"/>
  <c r="H576" i="57"/>
  <c r="I576" i="57"/>
  <c r="J576" i="57"/>
  <c r="K576" i="57"/>
  <c r="L576" i="57"/>
  <c r="M576" i="57"/>
  <c r="G577" i="57"/>
  <c r="H577" i="57"/>
  <c r="I577" i="57"/>
  <c r="J577" i="57"/>
  <c r="K577" i="57"/>
  <c r="L577" i="57"/>
  <c r="M577" i="57"/>
  <c r="G578" i="57"/>
  <c r="H578" i="57"/>
  <c r="I578" i="57"/>
  <c r="J578" i="57"/>
  <c r="K578" i="57"/>
  <c r="L578" i="57"/>
  <c r="M578" i="57"/>
  <c r="G579" i="57"/>
  <c r="H579" i="57"/>
  <c r="I579" i="57"/>
  <c r="J579" i="57"/>
  <c r="K579" i="57"/>
  <c r="L579" i="57"/>
  <c r="M579" i="57"/>
  <c r="G580" i="57"/>
  <c r="H580" i="57"/>
  <c r="I580" i="57"/>
  <c r="J580" i="57"/>
  <c r="K580" i="57"/>
  <c r="L580" i="57"/>
  <c r="M580" i="57"/>
  <c r="G581" i="57"/>
  <c r="H581" i="57"/>
  <c r="I581" i="57"/>
  <c r="J581" i="57"/>
  <c r="K581" i="57"/>
  <c r="L581" i="57"/>
  <c r="M581" i="57"/>
  <c r="G584" i="57"/>
  <c r="H584" i="57"/>
  <c r="I584" i="57"/>
  <c r="J584" i="57"/>
  <c r="K584" i="57"/>
  <c r="L584" i="57"/>
  <c r="M584" i="57"/>
  <c r="G587" i="57"/>
  <c r="H587" i="57"/>
  <c r="I587" i="57"/>
  <c r="J587" i="57"/>
  <c r="K587" i="57"/>
  <c r="L587" i="57"/>
  <c r="M587" i="57"/>
  <c r="G590" i="57"/>
  <c r="H590" i="57"/>
  <c r="I590" i="57"/>
  <c r="J590" i="57"/>
  <c r="K590" i="57"/>
  <c r="L590" i="57"/>
  <c r="M590" i="57"/>
  <c r="G595" i="57"/>
  <c r="H595" i="57"/>
  <c r="I595" i="57"/>
  <c r="J595" i="57"/>
  <c r="K595" i="57"/>
  <c r="L595" i="57"/>
  <c r="M595" i="57"/>
  <c r="G596" i="57"/>
  <c r="H596" i="57"/>
  <c r="I596" i="57"/>
  <c r="J596" i="57"/>
  <c r="K596" i="57"/>
  <c r="L596" i="57"/>
  <c r="M596" i="57"/>
  <c r="G597" i="57"/>
  <c r="H597" i="57"/>
  <c r="I597" i="57"/>
  <c r="J597" i="57"/>
  <c r="K597" i="57"/>
  <c r="L597" i="57"/>
  <c r="M597" i="57"/>
  <c r="G598" i="57"/>
  <c r="H598" i="57"/>
  <c r="I598" i="57"/>
  <c r="J598" i="57"/>
  <c r="K598" i="57"/>
  <c r="L598" i="57"/>
  <c r="M598" i="57"/>
  <c r="G599" i="57"/>
  <c r="H599" i="57"/>
  <c r="I599" i="57"/>
  <c r="J599" i="57"/>
  <c r="K599" i="57"/>
  <c r="L599" i="57"/>
  <c r="M599" i="57"/>
  <c r="G602" i="57"/>
  <c r="H602" i="57"/>
  <c r="I602" i="57"/>
  <c r="J602" i="57"/>
  <c r="K602" i="57"/>
  <c r="L602" i="57"/>
  <c r="M602" i="57"/>
  <c r="G603" i="57"/>
  <c r="H603" i="57"/>
  <c r="I603" i="57"/>
  <c r="J603" i="57"/>
  <c r="K603" i="57"/>
  <c r="L603" i="57"/>
  <c r="M603" i="57"/>
  <c r="G604" i="57"/>
  <c r="H604" i="57"/>
  <c r="I604" i="57"/>
  <c r="J604" i="57"/>
  <c r="K604" i="57"/>
  <c r="L604" i="57"/>
  <c r="M604" i="57"/>
  <c r="G605" i="57"/>
  <c r="H605" i="57"/>
  <c r="I605" i="57"/>
  <c r="J605" i="57"/>
  <c r="K605" i="57"/>
  <c r="L605" i="57"/>
  <c r="M605" i="57"/>
  <c r="G606" i="57"/>
  <c r="H606" i="57"/>
  <c r="I606" i="57"/>
  <c r="J606" i="57"/>
  <c r="K606" i="57"/>
  <c r="L606" i="57"/>
  <c r="M606" i="57"/>
  <c r="G609" i="57"/>
  <c r="H609" i="57"/>
  <c r="I609" i="57"/>
  <c r="J609" i="57"/>
  <c r="K609" i="57"/>
  <c r="L609" i="57"/>
  <c r="M609" i="57"/>
  <c r="G610" i="57"/>
  <c r="H610" i="57"/>
  <c r="I610" i="57"/>
  <c r="J610" i="57"/>
  <c r="K610" i="57"/>
  <c r="L610" i="57"/>
  <c r="M610" i="57"/>
  <c r="G611" i="57"/>
  <c r="H611" i="57"/>
  <c r="I611" i="57"/>
  <c r="J611" i="57"/>
  <c r="K611" i="57"/>
  <c r="L611" i="57"/>
  <c r="M611" i="57"/>
  <c r="G612" i="57"/>
  <c r="H612" i="57"/>
  <c r="I612" i="57"/>
  <c r="J612" i="57"/>
  <c r="K612" i="57"/>
  <c r="L612" i="57"/>
  <c r="M612" i="57"/>
  <c r="G613" i="57"/>
  <c r="H613" i="57"/>
  <c r="I613" i="57"/>
  <c r="J613" i="57"/>
  <c r="K613" i="57"/>
  <c r="L613" i="57"/>
  <c r="M613" i="57"/>
  <c r="G617" i="57"/>
  <c r="H617" i="57"/>
  <c r="I617" i="57"/>
  <c r="J617" i="57"/>
  <c r="K617" i="57"/>
  <c r="L617" i="57"/>
  <c r="M617" i="57"/>
  <c r="G618" i="57"/>
  <c r="H618" i="57"/>
  <c r="I618" i="57"/>
  <c r="J618" i="57"/>
  <c r="K618" i="57"/>
  <c r="L618" i="57"/>
  <c r="M618" i="57"/>
  <c r="G619" i="57"/>
  <c r="H619" i="57"/>
  <c r="I619" i="57"/>
  <c r="J619" i="57"/>
  <c r="K619" i="57"/>
  <c r="L619" i="57"/>
  <c r="M619" i="57"/>
  <c r="G620" i="57"/>
  <c r="H620" i="57"/>
  <c r="I620" i="57"/>
  <c r="J620" i="57"/>
  <c r="K620" i="57"/>
  <c r="L620" i="57"/>
  <c r="M620" i="57"/>
  <c r="G621" i="57"/>
  <c r="H621" i="57"/>
  <c r="I621" i="57"/>
  <c r="J621" i="57"/>
  <c r="K621" i="57"/>
  <c r="L621" i="57"/>
  <c r="M621" i="57"/>
  <c r="G624" i="57"/>
  <c r="H624" i="57"/>
  <c r="I624" i="57"/>
  <c r="J624" i="57"/>
  <c r="K624" i="57"/>
  <c r="L624" i="57"/>
  <c r="M624" i="57"/>
  <c r="G625" i="57"/>
  <c r="H625" i="57"/>
  <c r="I625" i="57"/>
  <c r="J625" i="57"/>
  <c r="K625" i="57"/>
  <c r="L625" i="57"/>
  <c r="M625" i="57"/>
  <c r="G626" i="57"/>
  <c r="H626" i="57"/>
  <c r="I626" i="57"/>
  <c r="J626" i="57"/>
  <c r="K626" i="57"/>
  <c r="L626" i="57"/>
  <c r="M626" i="57"/>
  <c r="G627" i="57"/>
  <c r="H627" i="57"/>
  <c r="I627" i="57"/>
  <c r="J627" i="57"/>
  <c r="K627" i="57"/>
  <c r="L627" i="57"/>
  <c r="M627" i="57"/>
  <c r="G628" i="57"/>
  <c r="H628" i="57"/>
  <c r="I628" i="57"/>
  <c r="J628" i="57"/>
  <c r="K628" i="57"/>
  <c r="L628" i="57"/>
  <c r="M628" i="57"/>
  <c r="G631" i="57"/>
  <c r="H631" i="57"/>
  <c r="I631" i="57"/>
  <c r="J631" i="57"/>
  <c r="K631" i="57"/>
  <c r="L631" i="57"/>
  <c r="M631" i="57"/>
  <c r="G632" i="57"/>
  <c r="H632" i="57"/>
  <c r="I632" i="57"/>
  <c r="J632" i="57"/>
  <c r="K632" i="57"/>
  <c r="L632" i="57"/>
  <c r="M632" i="57"/>
  <c r="G633" i="57"/>
  <c r="H633" i="57"/>
  <c r="I633" i="57"/>
  <c r="J633" i="57"/>
  <c r="K633" i="57"/>
  <c r="L633" i="57"/>
  <c r="M633" i="57"/>
  <c r="G634" i="57"/>
  <c r="H634" i="57"/>
  <c r="I634" i="57"/>
  <c r="J634" i="57"/>
  <c r="K634" i="57"/>
  <c r="L634" i="57"/>
  <c r="M634" i="57"/>
  <c r="G635" i="57"/>
  <c r="H635" i="57"/>
  <c r="I635" i="57"/>
  <c r="J635" i="57"/>
  <c r="K635" i="57"/>
  <c r="L635" i="57"/>
  <c r="M635" i="57"/>
  <c r="G639" i="57"/>
  <c r="H639" i="57"/>
  <c r="I639" i="57"/>
  <c r="J639" i="57"/>
  <c r="K639" i="57"/>
  <c r="L639" i="57"/>
  <c r="M639" i="57"/>
  <c r="G640" i="57"/>
  <c r="H640" i="57"/>
  <c r="I640" i="57"/>
  <c r="J640" i="57"/>
  <c r="K640" i="57"/>
  <c r="L640" i="57"/>
  <c r="M640" i="57"/>
  <c r="G641" i="57"/>
  <c r="H641" i="57"/>
  <c r="I641" i="57"/>
  <c r="J641" i="57"/>
  <c r="K641" i="57"/>
  <c r="L641" i="57"/>
  <c r="M641" i="57"/>
  <c r="G642" i="57"/>
  <c r="H642" i="57"/>
  <c r="I642" i="57"/>
  <c r="J642" i="57"/>
  <c r="K642" i="57"/>
  <c r="L642" i="57"/>
  <c r="M642" i="57"/>
  <c r="G643" i="57"/>
  <c r="H643" i="57"/>
  <c r="I643" i="57"/>
  <c r="J643" i="57"/>
  <c r="K643" i="57"/>
  <c r="L643" i="57"/>
  <c r="M643" i="57"/>
  <c r="G646" i="57"/>
  <c r="H646" i="57"/>
  <c r="I646" i="57"/>
  <c r="J646" i="57"/>
  <c r="K646" i="57"/>
  <c r="L646" i="57"/>
  <c r="M646" i="57"/>
  <c r="G647" i="57"/>
  <c r="H647" i="57"/>
  <c r="I647" i="57"/>
  <c r="J647" i="57"/>
  <c r="K647" i="57"/>
  <c r="L647" i="57"/>
  <c r="M647" i="57"/>
  <c r="G648" i="57"/>
  <c r="H648" i="57"/>
  <c r="I648" i="57"/>
  <c r="J648" i="57"/>
  <c r="K648" i="57"/>
  <c r="L648" i="57"/>
  <c r="M648" i="57"/>
  <c r="G649" i="57"/>
  <c r="H649" i="57"/>
  <c r="I649" i="57"/>
  <c r="J649" i="57"/>
  <c r="K649" i="57"/>
  <c r="L649" i="57"/>
  <c r="M649" i="57"/>
  <c r="G650" i="57"/>
  <c r="H650" i="57"/>
  <c r="I650" i="57"/>
  <c r="J650" i="57"/>
  <c r="K650" i="57"/>
  <c r="L650" i="57"/>
  <c r="M650" i="57"/>
  <c r="G651" i="57"/>
  <c r="H651" i="57"/>
  <c r="I651" i="57"/>
  <c r="J651" i="57"/>
  <c r="K651" i="57"/>
  <c r="L651" i="57"/>
  <c r="M651" i="57"/>
  <c r="G652" i="57"/>
  <c r="H652" i="57"/>
  <c r="I652" i="57"/>
  <c r="J652" i="57"/>
  <c r="K652" i="57"/>
  <c r="L652" i="57"/>
  <c r="M652" i="57"/>
  <c r="G653" i="57"/>
  <c r="H653" i="57"/>
  <c r="I653" i="57"/>
  <c r="J653" i="57"/>
  <c r="K653" i="57"/>
  <c r="L653" i="57"/>
  <c r="M653" i="57"/>
  <c r="G654" i="57"/>
  <c r="H654" i="57"/>
  <c r="I654" i="57"/>
  <c r="J654" i="57"/>
  <c r="K654" i="57"/>
  <c r="L654" i="57"/>
  <c r="M654" i="57"/>
  <c r="G655" i="57"/>
  <c r="H655" i="57"/>
  <c r="I655" i="57"/>
  <c r="J655" i="57"/>
  <c r="K655" i="57"/>
  <c r="L655" i="57"/>
  <c r="M655" i="57"/>
  <c r="G656" i="57"/>
  <c r="H656" i="57"/>
  <c r="I656" i="57"/>
  <c r="J656" i="57"/>
  <c r="K656" i="57"/>
  <c r="L656" i="57"/>
  <c r="M656" i="57"/>
  <c r="G657" i="57"/>
  <c r="H657" i="57"/>
  <c r="I657" i="57"/>
  <c r="J657" i="57"/>
  <c r="K657" i="57"/>
  <c r="L657" i="57"/>
  <c r="M657" i="57"/>
  <c r="G661" i="57"/>
  <c r="H661" i="57"/>
  <c r="I661" i="57"/>
  <c r="J661" i="57"/>
  <c r="K661" i="57"/>
  <c r="L661" i="57"/>
  <c r="M661" i="57"/>
  <c r="G662" i="57"/>
  <c r="H662" i="57"/>
  <c r="I662" i="57"/>
  <c r="J662" i="57"/>
  <c r="K662" i="57"/>
  <c r="L662" i="57"/>
  <c r="M662" i="57"/>
  <c r="G663" i="57"/>
  <c r="H663" i="57"/>
  <c r="I663" i="57"/>
  <c r="J663" i="57"/>
  <c r="K663" i="57"/>
  <c r="L663" i="57"/>
  <c r="M663" i="57"/>
  <c r="G664" i="57"/>
  <c r="H664" i="57"/>
  <c r="I664" i="57"/>
  <c r="J664" i="57"/>
  <c r="K664" i="57"/>
  <c r="L664" i="57"/>
  <c r="M664" i="57"/>
  <c r="G665" i="57"/>
  <c r="H665" i="57"/>
  <c r="I665" i="57"/>
  <c r="J665" i="57"/>
  <c r="K665" i="57"/>
  <c r="L665" i="57"/>
  <c r="M665" i="57"/>
  <c r="G668" i="57"/>
  <c r="H668" i="57"/>
  <c r="I668" i="57"/>
  <c r="J668" i="57"/>
  <c r="K668" i="57"/>
  <c r="L668" i="57"/>
  <c r="M668" i="57"/>
  <c r="G669" i="57"/>
  <c r="H669" i="57"/>
  <c r="I669" i="57"/>
  <c r="J669" i="57"/>
  <c r="K669" i="57"/>
  <c r="L669" i="57"/>
  <c r="M669" i="57"/>
  <c r="G670" i="57"/>
  <c r="H670" i="57"/>
  <c r="I670" i="57"/>
  <c r="J670" i="57"/>
  <c r="K670" i="57"/>
  <c r="L670" i="57"/>
  <c r="M670" i="57"/>
  <c r="G671" i="57"/>
  <c r="H671" i="57"/>
  <c r="I671" i="57"/>
  <c r="J671" i="57"/>
  <c r="K671" i="57"/>
  <c r="L671" i="57"/>
  <c r="M671" i="57"/>
  <c r="G672" i="57"/>
  <c r="H672" i="57"/>
  <c r="I672" i="57"/>
  <c r="J672" i="57"/>
  <c r="K672" i="57"/>
  <c r="L672" i="57"/>
  <c r="M672" i="57"/>
  <c r="G675" i="57"/>
  <c r="H675" i="57"/>
  <c r="I675" i="57"/>
  <c r="J675" i="57"/>
  <c r="K675" i="57"/>
  <c r="L675" i="57"/>
  <c r="M675" i="57"/>
  <c r="G676" i="57"/>
  <c r="H676" i="57"/>
  <c r="I676" i="57"/>
  <c r="J676" i="57"/>
  <c r="K676" i="57"/>
  <c r="L676" i="57"/>
  <c r="M676" i="57"/>
  <c r="G677" i="57"/>
  <c r="H677" i="57"/>
  <c r="I677" i="57"/>
  <c r="J677" i="57"/>
  <c r="K677" i="57"/>
  <c r="L677" i="57"/>
  <c r="M677" i="57"/>
  <c r="G678" i="57"/>
  <c r="H678" i="57"/>
  <c r="I678" i="57"/>
  <c r="J678" i="57"/>
  <c r="K678" i="57"/>
  <c r="L678" i="57"/>
  <c r="M678" i="57"/>
  <c r="G679" i="57"/>
  <c r="H679" i="57"/>
  <c r="I679" i="57"/>
  <c r="J679" i="57"/>
  <c r="K679" i="57"/>
  <c r="L679" i="57"/>
  <c r="M679" i="57"/>
  <c r="G683" i="57"/>
  <c r="H683" i="57"/>
  <c r="I683" i="57"/>
  <c r="J683" i="57"/>
  <c r="K683" i="57"/>
  <c r="L683" i="57"/>
  <c r="M683" i="57"/>
  <c r="G684" i="57"/>
  <c r="H684" i="57"/>
  <c r="I684" i="57"/>
  <c r="J684" i="57"/>
  <c r="K684" i="57"/>
  <c r="L684" i="57"/>
  <c r="M684" i="57"/>
  <c r="G685" i="57"/>
  <c r="H685" i="57"/>
  <c r="I685" i="57"/>
  <c r="J685" i="57"/>
  <c r="K685" i="57"/>
  <c r="L685" i="57"/>
  <c r="M685" i="57"/>
  <c r="G686" i="57"/>
  <c r="H686" i="57"/>
  <c r="I686" i="57"/>
  <c r="J686" i="57"/>
  <c r="K686" i="57"/>
  <c r="L686" i="57"/>
  <c r="M686" i="57"/>
  <c r="G687" i="57"/>
  <c r="H687" i="57"/>
  <c r="I687" i="57"/>
  <c r="J687" i="57"/>
  <c r="K687" i="57"/>
  <c r="L687" i="57"/>
  <c r="M687" i="57"/>
  <c r="G690" i="57"/>
  <c r="H690" i="57"/>
  <c r="I690" i="57"/>
  <c r="J690" i="57"/>
  <c r="K690" i="57"/>
  <c r="L690" i="57"/>
  <c r="M690" i="57"/>
  <c r="G691" i="57"/>
  <c r="H691" i="57"/>
  <c r="I691" i="57"/>
  <c r="J691" i="57"/>
  <c r="K691" i="57"/>
  <c r="L691" i="57"/>
  <c r="M691" i="57"/>
  <c r="G692" i="57"/>
  <c r="H692" i="57"/>
  <c r="I692" i="57"/>
  <c r="J692" i="57"/>
  <c r="K692" i="57"/>
  <c r="L692" i="57"/>
  <c r="M692" i="57"/>
  <c r="G693" i="57"/>
  <c r="H693" i="57"/>
  <c r="I693" i="57"/>
  <c r="J693" i="57"/>
  <c r="K693" i="57"/>
  <c r="L693" i="57"/>
  <c r="M693" i="57"/>
  <c r="G694" i="57"/>
  <c r="H694" i="57"/>
  <c r="I694" i="57"/>
  <c r="J694" i="57"/>
  <c r="K694" i="57"/>
  <c r="L694" i="57"/>
  <c r="M694" i="57"/>
  <c r="G697" i="57"/>
  <c r="H697" i="57"/>
  <c r="I697" i="57"/>
  <c r="J697" i="57"/>
  <c r="K697" i="57"/>
  <c r="L697" i="57"/>
  <c r="M697" i="57"/>
  <c r="G698" i="57"/>
  <c r="H698" i="57"/>
  <c r="I698" i="57"/>
  <c r="J698" i="57"/>
  <c r="K698" i="57"/>
  <c r="L698" i="57"/>
  <c r="M698" i="57"/>
  <c r="G699" i="57"/>
  <c r="H699" i="57"/>
  <c r="I699" i="57"/>
  <c r="J699" i="57"/>
  <c r="K699" i="57"/>
  <c r="L699" i="57"/>
  <c r="M699" i="57"/>
  <c r="G700" i="57"/>
  <c r="H700" i="57"/>
  <c r="I700" i="57"/>
  <c r="J700" i="57"/>
  <c r="K700" i="57"/>
  <c r="L700" i="57"/>
  <c r="M700" i="57"/>
  <c r="G701" i="57"/>
  <c r="H701" i="57"/>
  <c r="I701" i="57"/>
  <c r="J701" i="57"/>
  <c r="K701" i="57"/>
  <c r="L701" i="57"/>
  <c r="M701" i="57"/>
  <c r="G704" i="57"/>
  <c r="H704" i="57"/>
  <c r="I704" i="57"/>
  <c r="J704" i="57"/>
  <c r="K704" i="57"/>
  <c r="L704" i="57"/>
  <c r="M704" i="57"/>
  <c r="G705" i="57"/>
  <c r="H705" i="57"/>
  <c r="I705" i="57"/>
  <c r="J705" i="57"/>
  <c r="K705" i="57"/>
  <c r="L705" i="57"/>
  <c r="M705" i="57"/>
  <c r="G706" i="57"/>
  <c r="H706" i="57"/>
  <c r="I706" i="57"/>
  <c r="J706" i="57"/>
  <c r="K706" i="57"/>
  <c r="L706" i="57"/>
  <c r="M706" i="57"/>
  <c r="G707" i="57"/>
  <c r="H707" i="57"/>
  <c r="I707" i="57"/>
  <c r="J707" i="57"/>
  <c r="K707" i="57"/>
  <c r="L707" i="57"/>
  <c r="M707" i="57"/>
  <c r="G708" i="57"/>
  <c r="H708" i="57"/>
  <c r="I708" i="57"/>
  <c r="J708" i="57"/>
  <c r="K708" i="57"/>
  <c r="L708" i="57"/>
  <c r="M708" i="57"/>
  <c r="G712" i="57"/>
  <c r="H712" i="57"/>
  <c r="I712" i="57"/>
  <c r="J712" i="57"/>
  <c r="K712" i="57"/>
  <c r="L712" i="57"/>
  <c r="M712" i="57"/>
  <c r="G713" i="57"/>
  <c r="H713" i="57"/>
  <c r="I713" i="57"/>
  <c r="J713" i="57"/>
  <c r="K713" i="57"/>
  <c r="L713" i="57"/>
  <c r="M713" i="57"/>
  <c r="G714" i="57"/>
  <c r="H714" i="57"/>
  <c r="I714" i="57"/>
  <c r="J714" i="57"/>
  <c r="K714" i="57"/>
  <c r="L714" i="57"/>
  <c r="M714" i="57"/>
  <c r="G715" i="57"/>
  <c r="H715" i="57"/>
  <c r="I715" i="57"/>
  <c r="J715" i="57"/>
  <c r="K715" i="57"/>
  <c r="L715" i="57"/>
  <c r="M715" i="57"/>
  <c r="G716" i="57"/>
  <c r="H716" i="57"/>
  <c r="I716" i="57"/>
  <c r="J716" i="57"/>
  <c r="K716" i="57"/>
  <c r="L716" i="57"/>
  <c r="M716" i="57"/>
  <c r="G719" i="57"/>
  <c r="H719" i="57"/>
  <c r="I719" i="57"/>
  <c r="J719" i="57"/>
  <c r="K719" i="57"/>
  <c r="L719" i="57"/>
  <c r="M719" i="57"/>
  <c r="G720" i="57"/>
  <c r="H720" i="57"/>
  <c r="I720" i="57"/>
  <c r="J720" i="57"/>
  <c r="K720" i="57"/>
  <c r="L720" i="57"/>
  <c r="M720" i="57"/>
  <c r="G721" i="57"/>
  <c r="H721" i="57"/>
  <c r="I721" i="57"/>
  <c r="J721" i="57"/>
  <c r="K721" i="57"/>
  <c r="L721" i="57"/>
  <c r="M721" i="57"/>
  <c r="G722" i="57"/>
  <c r="H722" i="57"/>
  <c r="I722" i="57"/>
  <c r="J722" i="57"/>
  <c r="K722" i="57"/>
  <c r="L722" i="57"/>
  <c r="M722" i="57"/>
  <c r="G723" i="57"/>
  <c r="H723" i="57"/>
  <c r="I723" i="57"/>
  <c r="J723" i="57"/>
  <c r="K723" i="57"/>
  <c r="L723" i="57"/>
  <c r="M723" i="57"/>
  <c r="G726" i="57"/>
  <c r="H726" i="57"/>
  <c r="I726" i="57"/>
  <c r="J726" i="57"/>
  <c r="K726" i="57"/>
  <c r="L726" i="57"/>
  <c r="M726" i="57"/>
  <c r="G727" i="57"/>
  <c r="H727" i="57"/>
  <c r="I727" i="57"/>
  <c r="J727" i="57"/>
  <c r="K727" i="57"/>
  <c r="L727" i="57"/>
  <c r="M727" i="57"/>
  <c r="G728" i="57"/>
  <c r="H728" i="57"/>
  <c r="I728" i="57"/>
  <c r="J728" i="57"/>
  <c r="K728" i="57"/>
  <c r="L728" i="57"/>
  <c r="M728" i="57"/>
  <c r="G729" i="57"/>
  <c r="H729" i="57"/>
  <c r="I729" i="57"/>
  <c r="J729" i="57"/>
  <c r="K729" i="57"/>
  <c r="L729" i="57"/>
  <c r="M729" i="57"/>
  <c r="G730" i="57"/>
  <c r="H730" i="57"/>
  <c r="I730" i="57"/>
  <c r="J730" i="57"/>
  <c r="K730" i="57"/>
  <c r="L730" i="57"/>
  <c r="M730" i="57"/>
  <c r="G733" i="57"/>
  <c r="H733" i="57"/>
  <c r="I733" i="57"/>
  <c r="J733" i="57"/>
  <c r="K733" i="57"/>
  <c r="L733" i="57"/>
  <c r="M733" i="57"/>
  <c r="G734" i="57"/>
  <c r="H734" i="57"/>
  <c r="I734" i="57"/>
  <c r="J734" i="57"/>
  <c r="K734" i="57"/>
  <c r="L734" i="57"/>
  <c r="M734" i="57"/>
  <c r="G735" i="57"/>
  <c r="H735" i="57"/>
  <c r="I735" i="57"/>
  <c r="J735" i="57"/>
  <c r="K735" i="57"/>
  <c r="L735" i="57"/>
  <c r="M735" i="57"/>
  <c r="G736" i="57"/>
  <c r="H736" i="57"/>
  <c r="I736" i="57"/>
  <c r="J736" i="57"/>
  <c r="K736" i="57"/>
  <c r="L736" i="57"/>
  <c r="M736" i="57"/>
  <c r="G737" i="57"/>
  <c r="H737" i="57"/>
  <c r="I737" i="57"/>
  <c r="J737" i="57"/>
  <c r="K737" i="57"/>
  <c r="L737" i="57"/>
  <c r="M737" i="57"/>
  <c r="G740" i="57"/>
  <c r="H740" i="57"/>
  <c r="I740" i="57"/>
  <c r="J740" i="57"/>
  <c r="K740" i="57"/>
  <c r="L740" i="57"/>
  <c r="M740" i="57"/>
  <c r="G741" i="57"/>
  <c r="H741" i="57"/>
  <c r="I741" i="57"/>
  <c r="J741" i="57"/>
  <c r="K741" i="57"/>
  <c r="L741" i="57"/>
  <c r="M741" i="57"/>
  <c r="G742" i="57"/>
  <c r="H742" i="57"/>
  <c r="I742" i="57"/>
  <c r="J742" i="57"/>
  <c r="K742" i="57"/>
  <c r="L742" i="57"/>
  <c r="M742" i="57"/>
  <c r="G743" i="57"/>
  <c r="H743" i="57"/>
  <c r="I743" i="57"/>
  <c r="J743" i="57"/>
  <c r="K743" i="57"/>
  <c r="L743" i="57"/>
  <c r="M743" i="57"/>
  <c r="G744" i="57"/>
  <c r="H744" i="57"/>
  <c r="I744" i="57"/>
  <c r="J744" i="57"/>
  <c r="K744" i="57"/>
  <c r="L744" i="57"/>
  <c r="M744" i="57"/>
  <c r="G747" i="57"/>
  <c r="H747" i="57"/>
  <c r="I747" i="57"/>
  <c r="J747" i="57"/>
  <c r="K747" i="57"/>
  <c r="L747" i="57"/>
  <c r="M747" i="57"/>
  <c r="G748" i="57"/>
  <c r="H748" i="57"/>
  <c r="I748" i="57"/>
  <c r="J748" i="57"/>
  <c r="K748" i="57"/>
  <c r="L748" i="57"/>
  <c r="M748" i="57"/>
  <c r="G749" i="57"/>
  <c r="H749" i="57"/>
  <c r="I749" i="57"/>
  <c r="J749" i="57"/>
  <c r="K749" i="57"/>
  <c r="L749" i="57"/>
  <c r="M749" i="57"/>
  <c r="G750" i="57"/>
  <c r="H750" i="57"/>
  <c r="I750" i="57"/>
  <c r="J750" i="57"/>
  <c r="K750" i="57"/>
  <c r="L750" i="57"/>
  <c r="M750" i="57"/>
  <c r="G751" i="57"/>
  <c r="H751" i="57"/>
  <c r="I751" i="57"/>
  <c r="J751" i="57"/>
  <c r="K751" i="57"/>
  <c r="L751" i="57"/>
  <c r="M751" i="57"/>
  <c r="G754" i="57"/>
  <c r="H754" i="57"/>
  <c r="I754" i="57"/>
  <c r="J754" i="57"/>
  <c r="K754" i="57"/>
  <c r="L754" i="57"/>
  <c r="M754" i="57"/>
  <c r="G755" i="57"/>
  <c r="H755" i="57"/>
  <c r="I755" i="57"/>
  <c r="J755" i="57"/>
  <c r="K755" i="57"/>
  <c r="L755" i="57"/>
  <c r="M755" i="57"/>
  <c r="G756" i="57"/>
  <c r="H756" i="57"/>
  <c r="I756" i="57"/>
  <c r="J756" i="57"/>
  <c r="K756" i="57"/>
  <c r="L756" i="57"/>
  <c r="M756" i="57"/>
  <c r="G757" i="57"/>
  <c r="H757" i="57"/>
  <c r="I757" i="57"/>
  <c r="J757" i="57"/>
  <c r="K757" i="57"/>
  <c r="L757" i="57"/>
  <c r="M757" i="57"/>
  <c r="G758" i="57"/>
  <c r="H758" i="57"/>
  <c r="I758" i="57"/>
  <c r="J758" i="57"/>
  <c r="K758" i="57"/>
  <c r="L758" i="57"/>
  <c r="M758" i="57"/>
  <c r="G761" i="57"/>
  <c r="H761" i="57"/>
  <c r="I761" i="57"/>
  <c r="J761" i="57"/>
  <c r="K761" i="57"/>
  <c r="L761" i="57"/>
  <c r="M761" i="57"/>
  <c r="G762" i="57"/>
  <c r="H762" i="57"/>
  <c r="I762" i="57"/>
  <c r="J762" i="57"/>
  <c r="K762" i="57"/>
  <c r="L762" i="57"/>
  <c r="M762" i="57"/>
  <c r="G763" i="57"/>
  <c r="H763" i="57"/>
  <c r="I763" i="57"/>
  <c r="J763" i="57"/>
  <c r="K763" i="57"/>
  <c r="L763" i="57"/>
  <c r="M763" i="57"/>
  <c r="G764" i="57"/>
  <c r="H764" i="57"/>
  <c r="I764" i="57"/>
  <c r="J764" i="57"/>
  <c r="K764" i="57"/>
  <c r="L764" i="57"/>
  <c r="M764" i="57"/>
  <c r="G765" i="57"/>
  <c r="H765" i="57"/>
  <c r="I765" i="57"/>
  <c r="J765" i="57"/>
  <c r="K765" i="57"/>
  <c r="L765" i="57"/>
  <c r="M765" i="57"/>
  <c r="G769" i="57"/>
  <c r="H769" i="57"/>
  <c r="I769" i="57"/>
  <c r="J769" i="57"/>
  <c r="K769" i="57"/>
  <c r="L769" i="57"/>
  <c r="M769" i="57"/>
  <c r="G770" i="57"/>
  <c r="H770" i="57"/>
  <c r="I770" i="57"/>
  <c r="J770" i="57"/>
  <c r="K770" i="57"/>
  <c r="L770" i="57"/>
  <c r="M770" i="57"/>
  <c r="G771" i="57"/>
  <c r="H771" i="57"/>
  <c r="I771" i="57"/>
  <c r="J771" i="57"/>
  <c r="K771" i="57"/>
  <c r="L771" i="57"/>
  <c r="M771" i="57"/>
  <c r="G772" i="57"/>
  <c r="H772" i="57"/>
  <c r="I772" i="57"/>
  <c r="J772" i="57"/>
  <c r="K772" i="57"/>
  <c r="L772" i="57"/>
  <c r="M772" i="57"/>
  <c r="G773" i="57"/>
  <c r="H773" i="57"/>
  <c r="I773" i="57"/>
  <c r="J773" i="57"/>
  <c r="K773" i="57"/>
  <c r="L773" i="57"/>
  <c r="M773" i="57"/>
  <c r="G777" i="57"/>
  <c r="H777" i="57"/>
  <c r="I777" i="57"/>
  <c r="J777" i="57"/>
  <c r="K777" i="57"/>
  <c r="L777" i="57"/>
  <c r="M777" i="57"/>
  <c r="G778" i="57"/>
  <c r="H778" i="57"/>
  <c r="I778" i="57"/>
  <c r="J778" i="57"/>
  <c r="K778" i="57"/>
  <c r="L778" i="57"/>
  <c r="M778" i="57"/>
  <c r="G779" i="57"/>
  <c r="H779" i="57"/>
  <c r="I779" i="57"/>
  <c r="J779" i="57"/>
  <c r="K779" i="57"/>
  <c r="L779" i="57"/>
  <c r="M779" i="57"/>
  <c r="G780" i="57"/>
  <c r="H780" i="57"/>
  <c r="I780" i="57"/>
  <c r="J780" i="57"/>
  <c r="K780" i="57"/>
  <c r="L780" i="57"/>
  <c r="M780" i="57"/>
  <c r="G781" i="57"/>
  <c r="H781" i="57"/>
  <c r="I781" i="57"/>
  <c r="J781" i="57"/>
  <c r="K781" i="57"/>
  <c r="L781" i="57"/>
  <c r="M781" i="57"/>
  <c r="G785" i="57"/>
  <c r="H785" i="57"/>
  <c r="I785" i="57"/>
  <c r="J785" i="57"/>
  <c r="K785" i="57"/>
  <c r="L785" i="57"/>
  <c r="M785" i="57"/>
  <c r="G786" i="57"/>
  <c r="H786" i="57"/>
  <c r="I786" i="57"/>
  <c r="J786" i="57"/>
  <c r="K786" i="57"/>
  <c r="L786" i="57"/>
  <c r="M786" i="57"/>
  <c r="G787" i="57"/>
  <c r="H787" i="57"/>
  <c r="I787" i="57"/>
  <c r="J787" i="57"/>
  <c r="K787" i="57"/>
  <c r="L787" i="57"/>
  <c r="M787" i="57"/>
  <c r="G788" i="57"/>
  <c r="H788" i="57"/>
  <c r="I788" i="57"/>
  <c r="J788" i="57"/>
  <c r="K788" i="57"/>
  <c r="L788" i="57"/>
  <c r="M788" i="57"/>
  <c r="G789" i="57"/>
  <c r="H789" i="57"/>
  <c r="I789" i="57"/>
  <c r="J789" i="57"/>
  <c r="K789" i="57"/>
  <c r="L789" i="57"/>
  <c r="M789" i="57"/>
  <c r="G793" i="57"/>
  <c r="H793" i="57"/>
  <c r="I793" i="57"/>
  <c r="J793" i="57"/>
  <c r="K793" i="57"/>
  <c r="L793" i="57"/>
  <c r="M793" i="57"/>
  <c r="G794" i="57"/>
  <c r="H794" i="57"/>
  <c r="I794" i="57"/>
  <c r="J794" i="57"/>
  <c r="K794" i="57"/>
  <c r="L794" i="57"/>
  <c r="M794" i="57"/>
  <c r="G795" i="57"/>
  <c r="H795" i="57"/>
  <c r="I795" i="57"/>
  <c r="J795" i="57"/>
  <c r="K795" i="57"/>
  <c r="L795" i="57"/>
  <c r="M795" i="57"/>
  <c r="G796" i="57"/>
  <c r="H796" i="57"/>
  <c r="I796" i="57"/>
  <c r="J796" i="57"/>
  <c r="K796" i="57"/>
  <c r="L796" i="57"/>
  <c r="M796" i="57"/>
  <c r="G797" i="57"/>
  <c r="H797" i="57"/>
  <c r="I797" i="57"/>
  <c r="J797" i="57"/>
  <c r="K797" i="57"/>
  <c r="L797" i="57"/>
  <c r="M797" i="57"/>
  <c r="G801" i="57"/>
  <c r="H801" i="57"/>
  <c r="I801" i="57"/>
  <c r="J801" i="57"/>
  <c r="K801" i="57"/>
  <c r="L801" i="57"/>
  <c r="M801" i="57"/>
  <c r="G802" i="57"/>
  <c r="H802" i="57"/>
  <c r="I802" i="57"/>
  <c r="J802" i="57"/>
  <c r="K802" i="57"/>
  <c r="L802" i="57"/>
  <c r="M802" i="57"/>
  <c r="G803" i="57"/>
  <c r="H803" i="57"/>
  <c r="I803" i="57"/>
  <c r="J803" i="57"/>
  <c r="K803" i="57"/>
  <c r="L803" i="57"/>
  <c r="M803" i="57"/>
  <c r="G804" i="57"/>
  <c r="H804" i="57"/>
  <c r="I804" i="57"/>
  <c r="J804" i="57"/>
  <c r="K804" i="57"/>
  <c r="L804" i="57"/>
  <c r="M804" i="57"/>
  <c r="G805" i="57"/>
  <c r="H805" i="57"/>
  <c r="I805" i="57"/>
  <c r="J805" i="57"/>
  <c r="K805" i="57"/>
  <c r="L805" i="57"/>
  <c r="M805" i="57"/>
  <c r="G808" i="57"/>
  <c r="H808" i="57"/>
  <c r="I808" i="57"/>
  <c r="J808" i="57"/>
  <c r="K808" i="57"/>
  <c r="L808" i="57"/>
  <c r="M808" i="57"/>
  <c r="G809" i="57"/>
  <c r="H809" i="57"/>
  <c r="I809" i="57"/>
  <c r="J809" i="57"/>
  <c r="K809" i="57"/>
  <c r="L809" i="57"/>
  <c r="M809" i="57"/>
  <c r="G810" i="57"/>
  <c r="H810" i="57"/>
  <c r="I810" i="57"/>
  <c r="J810" i="57"/>
  <c r="K810" i="57"/>
  <c r="L810" i="57"/>
  <c r="M810" i="57"/>
  <c r="G811" i="57"/>
  <c r="H811" i="57"/>
  <c r="I811" i="57"/>
  <c r="J811" i="57"/>
  <c r="K811" i="57"/>
  <c r="L811" i="57"/>
  <c r="M811" i="57"/>
  <c r="G812" i="57"/>
  <c r="H812" i="57"/>
  <c r="I812" i="57"/>
  <c r="J812" i="57"/>
  <c r="K812" i="57"/>
  <c r="L812" i="57"/>
  <c r="M812" i="57"/>
  <c r="G815" i="57"/>
  <c r="H815" i="57"/>
  <c r="I815" i="57"/>
  <c r="J815" i="57"/>
  <c r="K815" i="57"/>
  <c r="L815" i="57"/>
  <c r="M815" i="57"/>
  <c r="G816" i="57"/>
  <c r="H816" i="57"/>
  <c r="I816" i="57"/>
  <c r="J816" i="57"/>
  <c r="K816" i="57"/>
  <c r="L816" i="57"/>
  <c r="M816" i="57"/>
  <c r="G817" i="57"/>
  <c r="H817" i="57"/>
  <c r="I817" i="57"/>
  <c r="J817" i="57"/>
  <c r="K817" i="57"/>
  <c r="L817" i="57"/>
  <c r="M817" i="57"/>
  <c r="G818" i="57"/>
  <c r="H818" i="57"/>
  <c r="I818" i="57"/>
  <c r="J818" i="57"/>
  <c r="K818" i="57"/>
  <c r="L818" i="57"/>
  <c r="M818" i="57"/>
  <c r="G819" i="57"/>
  <c r="H819" i="57"/>
  <c r="I819" i="57"/>
  <c r="J819" i="57"/>
  <c r="K819" i="57"/>
  <c r="L819" i="57"/>
  <c r="M819" i="57"/>
  <c r="G823" i="57"/>
  <c r="H823" i="57"/>
  <c r="I823" i="57"/>
  <c r="J823" i="57"/>
  <c r="K823" i="57"/>
  <c r="L823" i="57"/>
  <c r="M823" i="57"/>
  <c r="G824" i="57"/>
  <c r="H824" i="57"/>
  <c r="I824" i="57"/>
  <c r="J824" i="57"/>
  <c r="K824" i="57"/>
  <c r="L824" i="57"/>
  <c r="M824" i="57"/>
  <c r="G825" i="57"/>
  <c r="H825" i="57"/>
  <c r="I825" i="57"/>
  <c r="J825" i="57"/>
  <c r="K825" i="57"/>
  <c r="L825" i="57"/>
  <c r="M825" i="57"/>
  <c r="G826" i="57"/>
  <c r="H826" i="57"/>
  <c r="I826" i="57"/>
  <c r="J826" i="57"/>
  <c r="K826" i="57"/>
  <c r="L826" i="57"/>
  <c r="M826" i="57"/>
  <c r="G827" i="57"/>
  <c r="H827" i="57"/>
  <c r="I827" i="57"/>
  <c r="J827" i="57"/>
  <c r="K827" i="57"/>
  <c r="L827" i="57"/>
  <c r="M827" i="57"/>
  <c r="G830" i="57"/>
  <c r="H830" i="57"/>
  <c r="I830" i="57"/>
  <c r="J830" i="57"/>
  <c r="K830" i="57"/>
  <c r="L830" i="57"/>
  <c r="M830" i="57"/>
  <c r="G831" i="57"/>
  <c r="H831" i="57"/>
  <c r="I831" i="57"/>
  <c r="J831" i="57"/>
  <c r="K831" i="57"/>
  <c r="L831" i="57"/>
  <c r="M831" i="57"/>
  <c r="G832" i="57"/>
  <c r="H832" i="57"/>
  <c r="I832" i="57"/>
  <c r="J832" i="57"/>
  <c r="K832" i="57"/>
  <c r="L832" i="57"/>
  <c r="M832" i="57"/>
  <c r="G833" i="57"/>
  <c r="H833" i="57"/>
  <c r="I833" i="57"/>
  <c r="J833" i="57"/>
  <c r="K833" i="57"/>
  <c r="L833" i="57"/>
  <c r="M833" i="57"/>
  <c r="G834" i="57"/>
  <c r="H834" i="57"/>
  <c r="I834" i="57"/>
  <c r="J834" i="57"/>
  <c r="K834" i="57"/>
  <c r="L834" i="57"/>
  <c r="M834" i="57"/>
  <c r="G837" i="57"/>
  <c r="H837" i="57"/>
  <c r="I837" i="57"/>
  <c r="J837" i="57"/>
  <c r="K837" i="57"/>
  <c r="L837" i="57"/>
  <c r="M837" i="57"/>
  <c r="G838" i="57"/>
  <c r="H838" i="57"/>
  <c r="I838" i="57"/>
  <c r="J838" i="57"/>
  <c r="K838" i="57"/>
  <c r="L838" i="57"/>
  <c r="M838" i="57"/>
  <c r="G839" i="57"/>
  <c r="H839" i="57"/>
  <c r="I839" i="57"/>
  <c r="J839" i="57"/>
  <c r="K839" i="57"/>
  <c r="L839" i="57"/>
  <c r="M839" i="57"/>
  <c r="G840" i="57"/>
  <c r="H840" i="57"/>
  <c r="I840" i="57"/>
  <c r="J840" i="57"/>
  <c r="K840" i="57"/>
  <c r="L840" i="57"/>
  <c r="M840" i="57"/>
  <c r="G841" i="57"/>
  <c r="H841" i="57"/>
  <c r="I841" i="57"/>
  <c r="J841" i="57"/>
  <c r="K841" i="57"/>
  <c r="L841" i="57"/>
  <c r="M841" i="57"/>
  <c r="G844" i="57"/>
  <c r="H844" i="57"/>
  <c r="I844" i="57"/>
  <c r="J844" i="57"/>
  <c r="K844" i="57"/>
  <c r="L844" i="57"/>
  <c r="M844" i="57"/>
  <c r="G845" i="57"/>
  <c r="H845" i="57"/>
  <c r="I845" i="57"/>
  <c r="J845" i="57"/>
  <c r="K845" i="57"/>
  <c r="L845" i="57"/>
  <c r="M845" i="57"/>
  <c r="G846" i="57"/>
  <c r="H846" i="57"/>
  <c r="I846" i="57"/>
  <c r="J846" i="57"/>
  <c r="K846" i="57"/>
  <c r="L846" i="57"/>
  <c r="M846" i="57"/>
  <c r="G847" i="57"/>
  <c r="H847" i="57"/>
  <c r="I847" i="57"/>
  <c r="J847" i="57"/>
  <c r="K847" i="57"/>
  <c r="L847" i="57"/>
  <c r="M847" i="57"/>
  <c r="G848" i="57"/>
  <c r="H848" i="57"/>
  <c r="I848" i="57"/>
  <c r="J848" i="57"/>
  <c r="K848" i="57"/>
  <c r="L848" i="57"/>
  <c r="M848" i="57"/>
  <c r="G851" i="57"/>
  <c r="H851" i="57"/>
  <c r="I851" i="57"/>
  <c r="J851" i="57"/>
  <c r="K851" i="57"/>
  <c r="L851" i="57"/>
  <c r="M851" i="57"/>
  <c r="G852" i="57"/>
  <c r="H852" i="57"/>
  <c r="I852" i="57"/>
  <c r="J852" i="57"/>
  <c r="K852" i="57"/>
  <c r="L852" i="57"/>
  <c r="M852" i="57"/>
  <c r="G853" i="57"/>
  <c r="H853" i="57"/>
  <c r="I853" i="57"/>
  <c r="J853" i="57"/>
  <c r="K853" i="57"/>
  <c r="L853" i="57"/>
  <c r="M853" i="57"/>
  <c r="G854" i="57"/>
  <c r="H854" i="57"/>
  <c r="I854" i="57"/>
  <c r="J854" i="57"/>
  <c r="K854" i="57"/>
  <c r="L854" i="57"/>
  <c r="M854" i="57"/>
  <c r="G855" i="57"/>
  <c r="H855" i="57"/>
  <c r="I855" i="57"/>
  <c r="J855" i="57"/>
  <c r="K855" i="57"/>
  <c r="L855" i="57"/>
  <c r="M855" i="57"/>
  <c r="G859" i="57"/>
  <c r="H859" i="57"/>
  <c r="I859" i="57"/>
  <c r="J859" i="57"/>
  <c r="K859" i="57"/>
  <c r="L859" i="57"/>
  <c r="M859" i="57"/>
  <c r="G860" i="57"/>
  <c r="H860" i="57"/>
  <c r="I860" i="57"/>
  <c r="J860" i="57"/>
  <c r="K860" i="57"/>
  <c r="L860" i="57"/>
  <c r="M860" i="57"/>
  <c r="G861" i="57"/>
  <c r="H861" i="57"/>
  <c r="I861" i="57"/>
  <c r="J861" i="57"/>
  <c r="K861" i="57"/>
  <c r="L861" i="57"/>
  <c r="M861" i="57"/>
  <c r="G862" i="57"/>
  <c r="H862" i="57"/>
  <c r="I862" i="57"/>
  <c r="J862" i="57"/>
  <c r="K862" i="57"/>
  <c r="L862" i="57"/>
  <c r="M862" i="57"/>
  <c r="G863" i="57"/>
  <c r="H863" i="57"/>
  <c r="I863" i="57"/>
  <c r="J863" i="57"/>
  <c r="K863" i="57"/>
  <c r="L863" i="57"/>
  <c r="M863" i="57"/>
  <c r="G864" i="57"/>
  <c r="H864" i="57"/>
  <c r="I864" i="57"/>
  <c r="J864" i="57"/>
  <c r="K864" i="57"/>
  <c r="L864" i="57"/>
  <c r="M864" i="57"/>
  <c r="G865" i="57"/>
  <c r="H865" i="57"/>
  <c r="I865" i="57"/>
  <c r="J865" i="57"/>
  <c r="K865" i="57"/>
  <c r="L865" i="57"/>
  <c r="M865" i="57"/>
  <c r="G866" i="57"/>
  <c r="H866" i="57"/>
  <c r="I866" i="57"/>
  <c r="J866" i="57"/>
  <c r="K866" i="57"/>
  <c r="L866" i="57"/>
  <c r="M866" i="57"/>
  <c r="G869" i="57"/>
  <c r="H869" i="57"/>
  <c r="I869" i="57"/>
  <c r="J869" i="57"/>
  <c r="K869" i="57"/>
  <c r="L869" i="57"/>
  <c r="M869" i="57"/>
  <c r="G870" i="57"/>
  <c r="H870" i="57"/>
  <c r="I870" i="57"/>
  <c r="J870" i="57"/>
  <c r="K870" i="57"/>
  <c r="L870" i="57"/>
  <c r="M870" i="57"/>
  <c r="G871" i="57"/>
  <c r="H871" i="57"/>
  <c r="I871" i="57"/>
  <c r="J871" i="57"/>
  <c r="K871" i="57"/>
  <c r="L871" i="57"/>
  <c r="M871" i="57"/>
  <c r="G872" i="57"/>
  <c r="H872" i="57"/>
  <c r="I872" i="57"/>
  <c r="J872" i="57"/>
  <c r="K872" i="57"/>
  <c r="L872" i="57"/>
  <c r="M872" i="57"/>
  <c r="G873" i="57"/>
  <c r="H873" i="57"/>
  <c r="I873" i="57"/>
  <c r="J873" i="57"/>
  <c r="K873" i="57"/>
  <c r="L873" i="57"/>
  <c r="M873" i="57"/>
  <c r="G876" i="57"/>
  <c r="H876" i="57"/>
  <c r="I876" i="57"/>
  <c r="J876" i="57"/>
  <c r="K876" i="57"/>
  <c r="L876" i="57"/>
  <c r="M876" i="57"/>
  <c r="G877" i="57"/>
  <c r="H877" i="57"/>
  <c r="I877" i="57"/>
  <c r="J877" i="57"/>
  <c r="K877" i="57"/>
  <c r="L877" i="57"/>
  <c r="M877" i="57"/>
  <c r="G878" i="57"/>
  <c r="H878" i="57"/>
  <c r="I878" i="57"/>
  <c r="J878" i="57"/>
  <c r="K878" i="57"/>
  <c r="L878" i="57"/>
  <c r="M878" i="57"/>
  <c r="G879" i="57"/>
  <c r="H879" i="57"/>
  <c r="I879" i="57"/>
  <c r="J879" i="57"/>
  <c r="K879" i="57"/>
  <c r="L879" i="57"/>
  <c r="M879" i="57"/>
  <c r="G880" i="57"/>
  <c r="H880" i="57"/>
  <c r="I880" i="57"/>
  <c r="J880" i="57"/>
  <c r="K880" i="57"/>
  <c r="L880" i="57"/>
  <c r="M880" i="57"/>
  <c r="C76" i="27"/>
  <c r="D76" i="27"/>
  <c r="E76" i="27"/>
  <c r="F76" i="27"/>
  <c r="G76" i="27"/>
  <c r="H76" i="27"/>
  <c r="I76" i="27"/>
  <c r="C77" i="27"/>
  <c r="D77" i="27"/>
  <c r="E77" i="27"/>
  <c r="F77" i="27"/>
  <c r="G77" i="27"/>
  <c r="H77" i="27"/>
  <c r="I77" i="27"/>
  <c r="C78" i="27"/>
  <c r="D78" i="27"/>
  <c r="E78" i="27"/>
  <c r="F78" i="27"/>
  <c r="G78" i="27"/>
  <c r="H78" i="27"/>
  <c r="I78" i="27"/>
  <c r="C79" i="27"/>
  <c r="D79" i="27"/>
  <c r="E79" i="27"/>
  <c r="F79" i="27"/>
  <c r="G79" i="27"/>
  <c r="H79" i="27"/>
  <c r="I79" i="27"/>
  <c r="C80" i="27"/>
  <c r="D80" i="27"/>
  <c r="E80" i="27"/>
  <c r="F80" i="27"/>
  <c r="G80" i="27"/>
  <c r="H80" i="27"/>
  <c r="I80" i="27"/>
  <c r="C81" i="27"/>
  <c r="D81" i="27"/>
  <c r="E81" i="27"/>
  <c r="F81" i="27"/>
  <c r="G81" i="27"/>
  <c r="H81" i="27"/>
  <c r="I81" i="27"/>
  <c r="C82" i="27"/>
  <c r="D82" i="27"/>
  <c r="E82" i="27"/>
  <c r="F82" i="27"/>
  <c r="G82" i="27"/>
  <c r="H82" i="27"/>
  <c r="I82" i="27"/>
  <c r="C83" i="27"/>
  <c r="D83" i="27"/>
  <c r="E83" i="27"/>
  <c r="F83" i="27"/>
  <c r="G83" i="27"/>
  <c r="H83" i="27"/>
  <c r="I83" i="27"/>
  <c r="AZ83" i="27"/>
  <c r="C84" i="27"/>
  <c r="D84" i="27"/>
  <c r="E84" i="27"/>
  <c r="F84" i="27"/>
  <c r="G84" i="27"/>
  <c r="H84" i="27"/>
  <c r="I84" i="27"/>
  <c r="AZ84" i="27"/>
  <c r="AZ85" i="27"/>
  <c r="AZ86" i="27"/>
  <c r="C87" i="27"/>
  <c r="D87" i="27"/>
  <c r="E87" i="27"/>
  <c r="F87" i="27"/>
  <c r="G87" i="27"/>
  <c r="H87" i="27"/>
  <c r="I87"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3" i="27"/>
  <c r="D93" i="27"/>
  <c r="E93" i="27"/>
  <c r="F93" i="27"/>
  <c r="G93" i="27"/>
  <c r="H93" i="27"/>
  <c r="I93" i="27"/>
  <c r="C94" i="27"/>
  <c r="D94" i="27"/>
  <c r="E94" i="27"/>
  <c r="F94" i="27"/>
  <c r="G94" i="27"/>
  <c r="H94" i="27"/>
  <c r="I94" i="27"/>
  <c r="AZ94" i="27"/>
  <c r="C95" i="27"/>
  <c r="D95" i="27"/>
  <c r="E95" i="27"/>
  <c r="F95" i="27"/>
  <c r="G95" i="27"/>
  <c r="H95" i="27"/>
  <c r="I95" i="27"/>
  <c r="C96" i="27"/>
  <c r="D96" i="27"/>
  <c r="E96" i="27"/>
  <c r="F96" i="27"/>
  <c r="G96" i="27"/>
  <c r="H96" i="27"/>
  <c r="I96" i="27"/>
  <c r="AZ96" i="27"/>
  <c r="C97" i="27"/>
  <c r="D97" i="27"/>
  <c r="E97" i="27"/>
  <c r="F97" i="27"/>
  <c r="G97" i="27"/>
  <c r="H97" i="27"/>
  <c r="I97" i="27"/>
  <c r="C98" i="27"/>
  <c r="D98" i="27"/>
  <c r="E98" i="27"/>
  <c r="F98" i="27"/>
  <c r="G98" i="27"/>
  <c r="H98" i="27"/>
  <c r="I98" i="27"/>
  <c r="C99" i="27"/>
  <c r="D99" i="27"/>
  <c r="E99" i="27"/>
  <c r="F99" i="27"/>
  <c r="G99" i="27"/>
  <c r="H99" i="27"/>
  <c r="I99" i="27"/>
  <c r="AZ99" i="27"/>
  <c r="C100" i="27"/>
  <c r="D100" i="27"/>
  <c r="E100" i="27"/>
  <c r="F100" i="27"/>
  <c r="G100" i="27"/>
  <c r="H100" i="27"/>
  <c r="I100" i="27"/>
  <c r="C101" i="27"/>
  <c r="D101" i="27"/>
  <c r="E101" i="27"/>
  <c r="F101" i="27"/>
  <c r="G101" i="27"/>
  <c r="H101" i="27"/>
  <c r="I101" i="27"/>
  <c r="AZ102" i="27"/>
  <c r="C103" i="27"/>
  <c r="D103" i="27"/>
  <c r="E103" i="27"/>
  <c r="F103" i="27"/>
  <c r="G103" i="27"/>
  <c r="H103" i="27"/>
  <c r="I103" i="27"/>
  <c r="AZ103" i="27"/>
  <c r="C104" i="27"/>
  <c r="D104" i="27"/>
  <c r="E104" i="27"/>
  <c r="F104" i="27"/>
  <c r="G104" i="27"/>
  <c r="H104" i="27"/>
  <c r="I104" i="27"/>
  <c r="AZ104" i="27"/>
  <c r="C105" i="27"/>
  <c r="D105" i="27"/>
  <c r="E105" i="27"/>
  <c r="F105" i="27"/>
  <c r="G105" i="27"/>
  <c r="H105" i="27"/>
  <c r="I105" i="27"/>
  <c r="AZ106" i="27"/>
  <c r="AZ107" i="27"/>
  <c r="AZ108" i="27"/>
  <c r="AZ109" i="27"/>
  <c r="AZ110" i="27"/>
  <c r="G8" i="56"/>
  <c r="H8" i="56"/>
  <c r="I8" i="56"/>
  <c r="J8" i="56"/>
  <c r="K8" i="56"/>
  <c r="L8" i="56"/>
  <c r="M8" i="56"/>
  <c r="G13" i="56"/>
  <c r="H13" i="56"/>
  <c r="I13" i="56"/>
  <c r="J13" i="56"/>
  <c r="K13" i="56"/>
  <c r="L13" i="56"/>
  <c r="M13" i="56"/>
  <c r="G16" i="56"/>
  <c r="H16" i="56"/>
  <c r="I16" i="56"/>
  <c r="J16" i="56"/>
  <c r="K16" i="56"/>
  <c r="L16" i="56"/>
  <c r="M16" i="56"/>
  <c r="G17" i="56"/>
  <c r="H17" i="56"/>
  <c r="I17" i="56"/>
  <c r="J17" i="56"/>
  <c r="K17" i="56"/>
  <c r="L17" i="56"/>
  <c r="M17" i="56"/>
  <c r="G18" i="56"/>
  <c r="H18" i="56"/>
  <c r="I18" i="56"/>
  <c r="J18" i="56"/>
  <c r="K18" i="56"/>
  <c r="L18" i="56"/>
  <c r="M18" i="56"/>
  <c r="G19" i="56"/>
  <c r="H19" i="56"/>
  <c r="I19" i="56"/>
  <c r="J19" i="56"/>
  <c r="K19" i="56"/>
  <c r="L19" i="56"/>
  <c r="M19" i="56"/>
  <c r="G20" i="56"/>
  <c r="H20" i="56"/>
  <c r="I20" i="56"/>
  <c r="J20" i="56"/>
  <c r="K20" i="56"/>
  <c r="L20" i="56"/>
  <c r="M20" i="56"/>
  <c r="G21" i="56"/>
  <c r="H21" i="56"/>
  <c r="I21" i="56"/>
  <c r="J21" i="56"/>
  <c r="K21" i="56"/>
  <c r="L21" i="56"/>
  <c r="M21" i="56"/>
  <c r="G22" i="56"/>
  <c r="H22" i="56"/>
  <c r="I22" i="56"/>
  <c r="J22" i="56"/>
  <c r="K22" i="56"/>
  <c r="L22" i="56"/>
  <c r="M22" i="56"/>
  <c r="G25" i="56"/>
  <c r="H25" i="56"/>
  <c r="I25" i="56"/>
  <c r="J25" i="56"/>
  <c r="K25" i="56"/>
  <c r="L25" i="56"/>
  <c r="M25" i="56"/>
  <c r="G26" i="56"/>
  <c r="H26" i="56"/>
  <c r="I26" i="56"/>
  <c r="J26" i="56"/>
  <c r="K26" i="56"/>
  <c r="L26" i="56"/>
  <c r="M26" i="56"/>
  <c r="G27" i="56"/>
  <c r="H27" i="56"/>
  <c r="I27" i="56"/>
  <c r="J27" i="56"/>
  <c r="K27" i="56"/>
  <c r="L27" i="56"/>
  <c r="M27" i="56"/>
  <c r="G28" i="56"/>
  <c r="H28" i="56"/>
  <c r="I28" i="56"/>
  <c r="J28" i="56"/>
  <c r="K28" i="56"/>
  <c r="L28" i="56"/>
  <c r="M28" i="56"/>
  <c r="G46" i="56"/>
  <c r="H46" i="56"/>
  <c r="I46" i="56"/>
  <c r="J46" i="56"/>
  <c r="K46" i="56"/>
  <c r="L46" i="56"/>
  <c r="M46" i="56"/>
  <c r="G47" i="56"/>
  <c r="H47" i="56"/>
  <c r="I47" i="56"/>
  <c r="J47" i="56"/>
  <c r="K47" i="56"/>
  <c r="L47" i="56"/>
  <c r="M47" i="56"/>
  <c r="G48" i="56"/>
  <c r="H48" i="56"/>
  <c r="I48" i="56"/>
  <c r="J48" i="56"/>
  <c r="K48" i="56"/>
  <c r="L48" i="56"/>
  <c r="M48" i="56"/>
  <c r="G49" i="56"/>
  <c r="H49" i="56"/>
  <c r="I49" i="56"/>
  <c r="J49" i="56"/>
  <c r="K49" i="56"/>
  <c r="L49" i="56"/>
  <c r="M49" i="56"/>
  <c r="G50" i="56"/>
  <c r="H50" i="56"/>
  <c r="I50" i="56"/>
  <c r="J50" i="56"/>
  <c r="K50" i="56"/>
  <c r="L50" i="56"/>
  <c r="M50" i="56"/>
  <c r="G53" i="56"/>
  <c r="H53" i="56"/>
  <c r="I53" i="56"/>
  <c r="J53" i="56"/>
  <c r="K53" i="56"/>
  <c r="L53" i="56"/>
  <c r="M53" i="56"/>
  <c r="G54" i="56"/>
  <c r="H54" i="56"/>
  <c r="I54" i="56"/>
  <c r="J54" i="56"/>
  <c r="K54" i="56"/>
  <c r="L54" i="56"/>
  <c r="M54" i="56"/>
  <c r="G55" i="56"/>
  <c r="H55" i="56"/>
  <c r="I55" i="56"/>
  <c r="J55" i="56"/>
  <c r="K55" i="56"/>
  <c r="L55" i="56"/>
  <c r="M55" i="56"/>
  <c r="G56" i="56"/>
  <c r="H56" i="56"/>
  <c r="I56" i="56"/>
  <c r="J56" i="56"/>
  <c r="K56" i="56"/>
  <c r="L56" i="56"/>
  <c r="M56" i="56"/>
  <c r="G57" i="56"/>
  <c r="H57" i="56"/>
  <c r="I57" i="56"/>
  <c r="J57" i="56"/>
  <c r="K57" i="56"/>
  <c r="L57" i="56"/>
  <c r="M57" i="56"/>
  <c r="G60" i="56"/>
  <c r="H60" i="56"/>
  <c r="I60" i="56"/>
  <c r="J60" i="56"/>
  <c r="K60" i="56"/>
  <c r="L60" i="56"/>
  <c r="M60" i="56"/>
  <c r="G61" i="56"/>
  <c r="H61" i="56"/>
  <c r="I61" i="56"/>
  <c r="J61" i="56"/>
  <c r="K61" i="56"/>
  <c r="L61" i="56"/>
  <c r="M61" i="56"/>
  <c r="G62" i="56"/>
  <c r="H62" i="56"/>
  <c r="I62" i="56"/>
  <c r="J62" i="56"/>
  <c r="K62" i="56"/>
  <c r="L62" i="56"/>
  <c r="M62" i="56"/>
  <c r="G65" i="56"/>
  <c r="H65" i="56"/>
  <c r="I65" i="56"/>
  <c r="J65" i="56"/>
  <c r="K65" i="56"/>
  <c r="L65" i="56"/>
  <c r="M65" i="56"/>
  <c r="G66" i="56"/>
  <c r="H66" i="56"/>
  <c r="I66" i="56"/>
  <c r="J66" i="56"/>
  <c r="K66" i="56"/>
  <c r="L66" i="56"/>
  <c r="M66" i="56"/>
  <c r="G67" i="56"/>
  <c r="H67" i="56"/>
  <c r="I67" i="56"/>
  <c r="J67" i="56"/>
  <c r="K67" i="56"/>
  <c r="L67" i="56"/>
  <c r="M67" i="56"/>
  <c r="G68" i="56"/>
  <c r="H68" i="56"/>
  <c r="I68" i="56"/>
  <c r="J68" i="56"/>
  <c r="K68" i="56"/>
  <c r="L68" i="56"/>
  <c r="M68" i="56"/>
  <c r="G72" i="56"/>
  <c r="H72" i="56"/>
  <c r="I72" i="56"/>
  <c r="J72" i="56"/>
  <c r="K72" i="56"/>
  <c r="L72" i="56"/>
  <c r="M72" i="56"/>
  <c r="G73" i="56"/>
  <c r="H73" i="56"/>
  <c r="I73" i="56"/>
  <c r="J73" i="56"/>
  <c r="K73" i="56"/>
  <c r="L73" i="56"/>
  <c r="M73" i="56"/>
  <c r="G74" i="56"/>
  <c r="H74" i="56"/>
  <c r="I74" i="56"/>
  <c r="J74" i="56"/>
  <c r="K74" i="56"/>
  <c r="L74" i="56"/>
  <c r="M74" i="56"/>
  <c r="G75" i="56"/>
  <c r="H75" i="56"/>
  <c r="I75" i="56"/>
  <c r="J75" i="56"/>
  <c r="K75" i="56"/>
  <c r="L75" i="56"/>
  <c r="M75" i="56"/>
  <c r="G78" i="56"/>
  <c r="H78" i="56"/>
  <c r="I78" i="56"/>
  <c r="J78" i="56"/>
  <c r="K78" i="56"/>
  <c r="L78" i="56"/>
  <c r="M78" i="56"/>
  <c r="G79" i="56"/>
  <c r="H79" i="56"/>
  <c r="I79" i="56"/>
  <c r="J79" i="56"/>
  <c r="K79" i="56"/>
  <c r="L79" i="56"/>
  <c r="M79" i="56"/>
  <c r="G80" i="56"/>
  <c r="H80" i="56"/>
  <c r="I80" i="56"/>
  <c r="J80" i="56"/>
  <c r="K80" i="56"/>
  <c r="L80" i="56"/>
  <c r="M80" i="56"/>
  <c r="G81" i="56"/>
  <c r="H81" i="56"/>
  <c r="I81" i="56"/>
  <c r="J81" i="56"/>
  <c r="K81" i="56"/>
  <c r="L81" i="56"/>
  <c r="M81" i="56"/>
  <c r="G84" i="56"/>
  <c r="H84" i="56"/>
  <c r="I84" i="56"/>
  <c r="J84" i="56"/>
  <c r="K84" i="56"/>
  <c r="L84" i="56"/>
  <c r="M84" i="56"/>
  <c r="G85" i="56"/>
  <c r="H85" i="56"/>
  <c r="I85" i="56"/>
  <c r="J85" i="56"/>
  <c r="K85" i="56"/>
  <c r="L85" i="56"/>
  <c r="M85" i="56"/>
  <c r="G86" i="56"/>
  <c r="H86" i="56"/>
  <c r="I86" i="56"/>
  <c r="J86" i="56"/>
  <c r="K86" i="56"/>
  <c r="L86" i="56"/>
  <c r="M86" i="56"/>
  <c r="G89" i="56"/>
  <c r="H89" i="56"/>
  <c r="I89" i="56"/>
  <c r="J89" i="56"/>
  <c r="K89" i="56"/>
  <c r="L89" i="56"/>
  <c r="M89" i="56"/>
  <c r="G90" i="56"/>
  <c r="H90" i="56"/>
  <c r="I90" i="56"/>
  <c r="J90" i="56"/>
  <c r="K90" i="56"/>
  <c r="L90" i="56"/>
  <c r="M90" i="56"/>
  <c r="G91" i="56"/>
  <c r="H91" i="56"/>
  <c r="I91" i="56"/>
  <c r="J91" i="56"/>
  <c r="K91" i="56"/>
  <c r="L91" i="56"/>
  <c r="M91" i="56"/>
  <c r="G92" i="56"/>
  <c r="H92" i="56"/>
  <c r="I92" i="56"/>
  <c r="J92" i="56"/>
  <c r="K92" i="56"/>
  <c r="L92" i="56"/>
  <c r="M92" i="56"/>
  <c r="G97" i="56"/>
  <c r="H97" i="56"/>
  <c r="I97" i="56"/>
  <c r="J97" i="56"/>
  <c r="K97" i="56"/>
  <c r="L97" i="56"/>
  <c r="M97" i="56"/>
  <c r="G98" i="56"/>
  <c r="H98" i="56"/>
  <c r="I98" i="56"/>
  <c r="J98" i="56"/>
  <c r="K98" i="56"/>
  <c r="L98" i="56"/>
  <c r="M98" i="56"/>
  <c r="G99" i="56"/>
  <c r="H99" i="56"/>
  <c r="I99" i="56"/>
  <c r="J99" i="56"/>
  <c r="K99" i="56"/>
  <c r="L99" i="56"/>
  <c r="M99" i="56"/>
  <c r="G103" i="56"/>
  <c r="H103" i="56"/>
  <c r="I103" i="56"/>
  <c r="J103" i="56"/>
  <c r="K103" i="56"/>
  <c r="L103" i="56"/>
  <c r="M103" i="56"/>
  <c r="G104" i="56"/>
  <c r="H104" i="56"/>
  <c r="I104" i="56"/>
  <c r="J104" i="56"/>
  <c r="K104" i="56"/>
  <c r="L104" i="56"/>
  <c r="M104" i="56"/>
  <c r="G105" i="56"/>
  <c r="H105" i="56"/>
  <c r="I105" i="56"/>
  <c r="J105" i="56"/>
  <c r="K105" i="56"/>
  <c r="L105" i="56"/>
  <c r="M105" i="56"/>
  <c r="G106" i="56"/>
  <c r="H106" i="56"/>
  <c r="I106" i="56"/>
  <c r="J106" i="56"/>
  <c r="K106" i="56"/>
  <c r="L106" i="56"/>
  <c r="M106" i="56"/>
  <c r="G109" i="56"/>
  <c r="H109" i="56"/>
  <c r="I109" i="56"/>
  <c r="J109" i="56"/>
  <c r="K109" i="56"/>
  <c r="L109" i="56"/>
  <c r="M109" i="56"/>
  <c r="G110" i="56"/>
  <c r="H110" i="56"/>
  <c r="I110" i="56"/>
  <c r="J110" i="56"/>
  <c r="K110" i="56"/>
  <c r="L110" i="56"/>
  <c r="M110" i="56"/>
  <c r="G111" i="56"/>
  <c r="H111" i="56"/>
  <c r="I111" i="56"/>
  <c r="J111" i="56"/>
  <c r="K111" i="56"/>
  <c r="L111" i="56"/>
  <c r="M111" i="56"/>
  <c r="G112" i="56"/>
  <c r="H112" i="56"/>
  <c r="I112" i="56"/>
  <c r="J112" i="56"/>
  <c r="K112" i="56"/>
  <c r="L112" i="56"/>
  <c r="M112" i="56"/>
  <c r="G115" i="56"/>
  <c r="H115" i="56"/>
  <c r="I115" i="56"/>
  <c r="J115" i="56"/>
  <c r="K115" i="56"/>
  <c r="L115" i="56"/>
  <c r="M115" i="56"/>
  <c r="G116" i="56"/>
  <c r="H116" i="56"/>
  <c r="I116" i="56"/>
  <c r="J116" i="56"/>
  <c r="K116" i="56"/>
  <c r="L116" i="56"/>
  <c r="M116" i="56"/>
  <c r="G117" i="56"/>
  <c r="H117" i="56"/>
  <c r="I117" i="56"/>
  <c r="J117" i="56"/>
  <c r="K117" i="56"/>
  <c r="L117" i="56"/>
  <c r="M117" i="56"/>
  <c r="G121" i="56"/>
  <c r="H121" i="56"/>
  <c r="I121" i="56"/>
  <c r="J121" i="56"/>
  <c r="K121" i="56"/>
  <c r="L121" i="56"/>
  <c r="M121" i="56"/>
  <c r="G122" i="56"/>
  <c r="H122" i="56"/>
  <c r="I122" i="56"/>
  <c r="J122" i="56"/>
  <c r="K122" i="56"/>
  <c r="L122" i="56"/>
  <c r="M122" i="56"/>
  <c r="G123" i="56"/>
  <c r="H123" i="56"/>
  <c r="I123" i="56"/>
  <c r="J123" i="56"/>
  <c r="K123" i="56"/>
  <c r="L123" i="56"/>
  <c r="M123" i="56"/>
  <c r="G127" i="56"/>
  <c r="H127" i="56"/>
  <c r="I127" i="56"/>
  <c r="J127" i="56"/>
  <c r="K127" i="56"/>
  <c r="L127" i="56"/>
  <c r="M127" i="56"/>
  <c r="G128" i="56"/>
  <c r="H128" i="56"/>
  <c r="I128" i="56"/>
  <c r="J128" i="56"/>
  <c r="K128" i="56"/>
  <c r="L128" i="56"/>
  <c r="M128" i="56"/>
  <c r="G129" i="56"/>
  <c r="H129" i="56"/>
  <c r="I129" i="56"/>
  <c r="J129" i="56"/>
  <c r="K129" i="56"/>
  <c r="L129" i="56"/>
  <c r="M129" i="56"/>
  <c r="G130" i="56"/>
  <c r="H130" i="56"/>
  <c r="I130" i="56"/>
  <c r="J130" i="56"/>
  <c r="K130" i="56"/>
  <c r="L130" i="56"/>
  <c r="M130" i="56"/>
  <c r="G133" i="56"/>
  <c r="H133" i="56"/>
  <c r="I133" i="56"/>
  <c r="J133" i="56"/>
  <c r="K133" i="56"/>
  <c r="L133" i="56"/>
  <c r="M133" i="56"/>
  <c r="G134" i="56"/>
  <c r="H134" i="56"/>
  <c r="I134" i="56"/>
  <c r="J134" i="56"/>
  <c r="K134" i="56"/>
  <c r="L134" i="56"/>
  <c r="M134" i="56"/>
  <c r="G135" i="56"/>
  <c r="H135" i="56"/>
  <c r="I135" i="56"/>
  <c r="J135" i="56"/>
  <c r="K135" i="56"/>
  <c r="L135" i="56"/>
  <c r="M135" i="56"/>
  <c r="G136" i="56"/>
  <c r="H136" i="56"/>
  <c r="I136" i="56"/>
  <c r="J136" i="56"/>
  <c r="K136" i="56"/>
  <c r="L136" i="56"/>
  <c r="M136" i="56"/>
  <c r="G139" i="56"/>
  <c r="H139" i="56"/>
  <c r="I139" i="56"/>
  <c r="J139" i="56"/>
  <c r="K139" i="56"/>
  <c r="L139" i="56"/>
  <c r="M139" i="56"/>
  <c r="G140" i="56"/>
  <c r="H140" i="56"/>
  <c r="I140" i="56"/>
  <c r="J140" i="56"/>
  <c r="K140" i="56"/>
  <c r="L140" i="56"/>
  <c r="M140" i="56"/>
  <c r="G141" i="56"/>
  <c r="H141" i="56"/>
  <c r="I141" i="56"/>
  <c r="J141" i="56"/>
  <c r="K141" i="56"/>
  <c r="L141" i="56"/>
  <c r="M141" i="56"/>
  <c r="G144" i="56"/>
  <c r="H144" i="56"/>
  <c r="I144" i="56"/>
  <c r="J144" i="56"/>
  <c r="K144" i="56"/>
  <c r="L144" i="56"/>
  <c r="M144" i="56"/>
  <c r="G145" i="56"/>
  <c r="H145" i="56"/>
  <c r="I145" i="56"/>
  <c r="J145" i="56"/>
  <c r="K145" i="56"/>
  <c r="L145" i="56"/>
  <c r="M145" i="56"/>
  <c r="G146" i="56"/>
  <c r="H146" i="56"/>
  <c r="I146" i="56"/>
  <c r="J146" i="56"/>
  <c r="K146" i="56"/>
  <c r="L146" i="56"/>
  <c r="M146" i="56"/>
  <c r="G147" i="56"/>
  <c r="H147" i="56"/>
  <c r="I147" i="56"/>
  <c r="J147" i="56"/>
  <c r="K147" i="56"/>
  <c r="L147" i="56"/>
  <c r="M147" i="56"/>
  <c r="G148" i="56"/>
  <c r="H148" i="56"/>
  <c r="I148" i="56"/>
  <c r="J148" i="56"/>
  <c r="K148" i="56"/>
  <c r="L148" i="56"/>
  <c r="M148" i="56"/>
  <c r="G149" i="56"/>
  <c r="H149" i="56"/>
  <c r="I149" i="56"/>
  <c r="J149" i="56"/>
  <c r="K149" i="56"/>
  <c r="L149" i="56"/>
  <c r="M149" i="56"/>
  <c r="G150" i="56"/>
  <c r="H150" i="56"/>
  <c r="I150" i="56"/>
  <c r="J150" i="56"/>
  <c r="K150" i="56"/>
  <c r="L150" i="56"/>
  <c r="M150" i="56"/>
  <c r="G152" i="56"/>
  <c r="H152" i="56"/>
  <c r="I152" i="56"/>
  <c r="J152" i="56"/>
  <c r="K152" i="56"/>
  <c r="L152" i="56"/>
  <c r="M152" i="56"/>
  <c r="G155" i="56"/>
  <c r="H155" i="56"/>
  <c r="I155" i="56"/>
  <c r="J155" i="56"/>
  <c r="K155" i="56"/>
  <c r="L155" i="56"/>
  <c r="M155" i="56"/>
  <c r="G156" i="56"/>
  <c r="H156" i="56"/>
  <c r="I156" i="56"/>
  <c r="J156" i="56"/>
  <c r="K156" i="56"/>
  <c r="L156" i="56"/>
  <c r="M156" i="56"/>
  <c r="G157" i="56"/>
  <c r="H157" i="56"/>
  <c r="I157" i="56"/>
  <c r="J157" i="56"/>
  <c r="K157" i="56"/>
  <c r="L157" i="56"/>
  <c r="M157" i="56"/>
  <c r="G158" i="56"/>
  <c r="H158" i="56"/>
  <c r="I158" i="56"/>
  <c r="J158" i="56"/>
  <c r="K158" i="56"/>
  <c r="L158" i="56"/>
  <c r="M158" i="56"/>
  <c r="G160" i="56"/>
  <c r="H160" i="56"/>
  <c r="I160" i="56"/>
  <c r="J160" i="56"/>
  <c r="K160" i="56"/>
  <c r="L160" i="56"/>
  <c r="M160" i="56"/>
  <c r="G162" i="56"/>
  <c r="H162" i="56"/>
  <c r="I162" i="56"/>
  <c r="J162" i="56"/>
  <c r="K162" i="56"/>
  <c r="L162" i="56"/>
  <c r="M162" i="56"/>
  <c r="G165" i="56"/>
  <c r="H165" i="56"/>
  <c r="I165" i="56"/>
  <c r="J165" i="56"/>
  <c r="K165" i="56"/>
  <c r="L165" i="56"/>
  <c r="M165" i="56"/>
  <c r="G168" i="56"/>
  <c r="H168" i="56"/>
  <c r="I168" i="56"/>
  <c r="J168" i="56"/>
  <c r="K168" i="56"/>
  <c r="L168" i="56"/>
  <c r="M168" i="56"/>
  <c r="G169" i="56"/>
  <c r="H169" i="56"/>
  <c r="I169" i="56"/>
  <c r="J169" i="56"/>
  <c r="K169" i="56"/>
  <c r="L169" i="56"/>
  <c r="M169" i="56"/>
  <c r="G170" i="56"/>
  <c r="H170" i="56"/>
  <c r="I170" i="56"/>
  <c r="J170" i="56"/>
  <c r="K170" i="56"/>
  <c r="L170" i="56"/>
  <c r="M170" i="56"/>
  <c r="G172" i="56"/>
  <c r="H172" i="56"/>
  <c r="I172" i="56"/>
  <c r="J172" i="56"/>
  <c r="K172" i="56"/>
  <c r="L172" i="56"/>
  <c r="M172" i="56"/>
  <c r="G173" i="56"/>
  <c r="H173" i="56"/>
  <c r="I173" i="56"/>
  <c r="J173" i="56"/>
  <c r="K173" i="56"/>
  <c r="L173" i="56"/>
  <c r="M173" i="56"/>
  <c r="G174" i="56"/>
  <c r="H174" i="56"/>
  <c r="I174" i="56"/>
  <c r="J174" i="56"/>
  <c r="K174" i="56"/>
  <c r="L174" i="56"/>
  <c r="M174" i="56"/>
  <c r="G175" i="56"/>
  <c r="H175" i="56"/>
  <c r="I175" i="56"/>
  <c r="J175" i="56"/>
  <c r="K175" i="56"/>
  <c r="L175" i="56"/>
  <c r="M175" i="56"/>
  <c r="G176" i="56"/>
  <c r="H176" i="56"/>
  <c r="I176" i="56"/>
  <c r="J176" i="56"/>
  <c r="K176" i="56"/>
  <c r="L176" i="56"/>
  <c r="M176" i="56"/>
  <c r="G178" i="56"/>
  <c r="H178" i="56"/>
  <c r="I178" i="56"/>
  <c r="J178" i="56"/>
  <c r="K178" i="56"/>
  <c r="L178" i="56"/>
  <c r="M178" i="56"/>
  <c r="G182" i="56"/>
  <c r="H182" i="56"/>
  <c r="I182" i="56"/>
  <c r="J182" i="56"/>
  <c r="K182" i="56"/>
  <c r="L182" i="56"/>
  <c r="M182" i="56"/>
  <c r="G184" i="56"/>
  <c r="H184" i="56"/>
  <c r="I184" i="56"/>
  <c r="J184" i="56"/>
  <c r="K184" i="56"/>
  <c r="L184" i="56"/>
  <c r="M184" i="56"/>
  <c r="G195" i="56"/>
  <c r="H195" i="56"/>
  <c r="I195" i="56"/>
  <c r="J195" i="56"/>
  <c r="K195" i="56"/>
  <c r="L195" i="56"/>
  <c r="M195" i="56"/>
  <c r="G196" i="56"/>
  <c r="H196" i="56"/>
  <c r="I196" i="56"/>
  <c r="J196" i="56"/>
  <c r="K196" i="56"/>
  <c r="L196" i="56"/>
  <c r="M196" i="56"/>
  <c r="G197" i="56" a="1"/>
  <c r="G197" i="56"/>
  <c r="H197" i="56" a="1"/>
  <c r="H197" i="56"/>
  <c r="I197" i="56" a="1"/>
  <c r="I197" i="56"/>
  <c r="J197" i="56" a="1"/>
  <c r="J197" i="56"/>
  <c r="K197" i="56" a="1"/>
  <c r="K197" i="56"/>
  <c r="L197" i="56" a="1"/>
  <c r="L197" i="56"/>
  <c r="M197" i="56" a="1"/>
  <c r="M197" i="56"/>
  <c r="G198" i="56" a="1"/>
  <c r="G198" i="56"/>
  <c r="H198" i="56" a="1"/>
  <c r="H198" i="56"/>
  <c r="I198" i="56" a="1"/>
  <c r="I198" i="56"/>
  <c r="J198" i="56" a="1"/>
  <c r="J198" i="56"/>
  <c r="K198" i="56" a="1"/>
  <c r="K198" i="56"/>
  <c r="L198" i="56" a="1"/>
  <c r="L198" i="56"/>
  <c r="M198" i="56" a="1"/>
  <c r="M198" i="56"/>
  <c r="G199" i="56" a="1"/>
  <c r="G199" i="56"/>
  <c r="H199" i="56" a="1"/>
  <c r="H199" i="56"/>
  <c r="I199" i="56" a="1"/>
  <c r="I199" i="56"/>
  <c r="J199" i="56" a="1"/>
  <c r="J199" i="56"/>
  <c r="K199" i="56" a="1"/>
  <c r="K199" i="56"/>
  <c r="L199" i="56" a="1"/>
  <c r="L199" i="56"/>
  <c r="M199" i="56" a="1"/>
  <c r="M199" i="56"/>
  <c r="G202" i="56"/>
  <c r="H202" i="56"/>
  <c r="I202" i="56"/>
  <c r="J202" i="56"/>
  <c r="K202" i="56"/>
  <c r="L202" i="56"/>
  <c r="M202" i="56"/>
  <c r="G203" i="56"/>
  <c r="H203" i="56"/>
  <c r="I203" i="56"/>
  <c r="J203" i="56"/>
  <c r="K203" i="56"/>
  <c r="L203" i="56"/>
  <c r="M203" i="56"/>
  <c r="G204" i="56" a="1"/>
  <c r="G204" i="56"/>
  <c r="H204" i="56" a="1"/>
  <c r="H204" i="56"/>
  <c r="I204" i="56" a="1"/>
  <c r="I204" i="56"/>
  <c r="J204" i="56" a="1"/>
  <c r="J204" i="56"/>
  <c r="K204" i="56" a="1"/>
  <c r="K204" i="56"/>
  <c r="L204" i="56" a="1"/>
  <c r="L204" i="56"/>
  <c r="M204" i="56" a="1"/>
  <c r="M204" i="56"/>
  <c r="G205" i="56" a="1"/>
  <c r="G205" i="56"/>
  <c r="H205" i="56" a="1"/>
  <c r="H205" i="56"/>
  <c r="I205" i="56" a="1"/>
  <c r="I205" i="56"/>
  <c r="J205" i="56" a="1"/>
  <c r="J205" i="56"/>
  <c r="K205" i="56" a="1"/>
  <c r="K205" i="56"/>
  <c r="L205" i="56" a="1"/>
  <c r="L205" i="56"/>
  <c r="M205" i="56" a="1"/>
  <c r="M205" i="56"/>
  <c r="G206" i="56" a="1"/>
  <c r="G206" i="56"/>
  <c r="H206" i="56" a="1"/>
  <c r="H206" i="56"/>
  <c r="I206" i="56" a="1"/>
  <c r="I206" i="56"/>
  <c r="J206" i="56" a="1"/>
  <c r="J206" i="56"/>
  <c r="K206" i="56" a="1"/>
  <c r="K206" i="56"/>
  <c r="L206" i="56" a="1"/>
  <c r="L206" i="56"/>
  <c r="M206" i="56" a="1"/>
  <c r="M206" i="56"/>
  <c r="G210" i="56"/>
  <c r="H210" i="56"/>
  <c r="I210" i="56"/>
  <c r="J210" i="56"/>
  <c r="K210" i="56"/>
  <c r="L210" i="56"/>
  <c r="M210" i="56"/>
  <c r="G211" i="56"/>
  <c r="H211" i="56"/>
  <c r="I211" i="56"/>
  <c r="J211" i="56"/>
  <c r="K211" i="56"/>
  <c r="L211" i="56"/>
  <c r="M211" i="56"/>
  <c r="G212" i="56"/>
  <c r="H212" i="56"/>
  <c r="I212" i="56"/>
  <c r="J212" i="56"/>
  <c r="K212" i="56"/>
  <c r="L212" i="56"/>
  <c r="M212" i="56"/>
  <c r="G213" i="56" a="1"/>
  <c r="G213" i="56"/>
  <c r="H213" i="56" a="1"/>
  <c r="H213" i="56"/>
  <c r="I213" i="56" a="1"/>
  <c r="I213" i="56"/>
  <c r="J213" i="56" a="1"/>
  <c r="J213" i="56"/>
  <c r="K213" i="56" a="1"/>
  <c r="K213" i="56"/>
  <c r="L213" i="56" a="1"/>
  <c r="L213" i="56"/>
  <c r="M213" i="56" a="1"/>
  <c r="M213" i="56"/>
  <c r="G214" i="56" a="1"/>
  <c r="G214" i="56"/>
  <c r="H214" i="56" a="1"/>
  <c r="H214" i="56"/>
  <c r="I214" i="56" a="1"/>
  <c r="I214" i="56"/>
  <c r="J214" i="56" a="1"/>
  <c r="J214" i="56"/>
  <c r="K214" i="56" a="1"/>
  <c r="K214" i="56"/>
  <c r="L214" i="56" a="1"/>
  <c r="L214" i="56"/>
  <c r="M214" i="56" a="1"/>
  <c r="M214" i="56"/>
  <c r="G215" i="56" a="1"/>
  <c r="G215" i="56"/>
  <c r="H215" i="56" a="1"/>
  <c r="H215" i="56"/>
  <c r="I215" i="56" a="1"/>
  <c r="I215" i="56"/>
  <c r="J215" i="56" a="1"/>
  <c r="J215" i="56"/>
  <c r="K215" i="56" a="1"/>
  <c r="K215" i="56"/>
  <c r="L215" i="56" a="1"/>
  <c r="L215" i="56"/>
  <c r="M215" i="56" a="1"/>
  <c r="M215" i="56"/>
  <c r="G216" i="56"/>
  <c r="H216" i="56"/>
  <c r="I216" i="56"/>
  <c r="J216" i="56"/>
  <c r="K216" i="56"/>
  <c r="L216" i="56"/>
  <c r="M216" i="56"/>
  <c r="G217" i="56"/>
  <c r="H217" i="56"/>
  <c r="I217" i="56"/>
  <c r="J217" i="56"/>
  <c r="K217" i="56"/>
  <c r="L217" i="56"/>
  <c r="M217" i="56"/>
  <c r="G220" i="56"/>
  <c r="H220" i="56"/>
  <c r="I220" i="56"/>
  <c r="J220" i="56"/>
  <c r="K220" i="56"/>
  <c r="L220" i="56"/>
  <c r="M220" i="56"/>
  <c r="G221" i="56"/>
  <c r="H221" i="56"/>
  <c r="I221" i="56"/>
  <c r="J221" i="56"/>
  <c r="K221" i="56"/>
  <c r="L221" i="56"/>
  <c r="M221" i="56"/>
  <c r="G222" i="56"/>
  <c r="H222" i="56"/>
  <c r="I222" i="56"/>
  <c r="J222" i="56"/>
  <c r="K222" i="56"/>
  <c r="L222" i="56"/>
  <c r="M222" i="56"/>
  <c r="G223" i="56" a="1"/>
  <c r="G223" i="56"/>
  <c r="H223" i="56" a="1"/>
  <c r="H223" i="56"/>
  <c r="I223" i="56" a="1"/>
  <c r="I223" i="56"/>
  <c r="J223" i="56" a="1"/>
  <c r="J223" i="56"/>
  <c r="K223" i="56" a="1"/>
  <c r="K223" i="56"/>
  <c r="L223" i="56" a="1"/>
  <c r="L223" i="56"/>
  <c r="M223" i="56" a="1"/>
  <c r="M223" i="56"/>
  <c r="G224" i="56" a="1"/>
  <c r="G224" i="56"/>
  <c r="H224" i="56" a="1"/>
  <c r="H224" i="56"/>
  <c r="I224" i="56" a="1"/>
  <c r="I224" i="56"/>
  <c r="J224" i="56" a="1"/>
  <c r="J224" i="56"/>
  <c r="K224" i="56" a="1"/>
  <c r="K224" i="56"/>
  <c r="L224" i="56" a="1"/>
  <c r="L224" i="56"/>
  <c r="M224" i="56" a="1"/>
  <c r="M224" i="56"/>
  <c r="G225" i="56" a="1"/>
  <c r="G225" i="56"/>
  <c r="H225" i="56" a="1"/>
  <c r="H225" i="56"/>
  <c r="I225" i="56" a="1"/>
  <c r="I225" i="56"/>
  <c r="J225" i="56" a="1"/>
  <c r="J225" i="56"/>
  <c r="K225" i="56" a="1"/>
  <c r="K225" i="56"/>
  <c r="L225" i="56" a="1"/>
  <c r="L225" i="56"/>
  <c r="M225" i="56" a="1"/>
  <c r="M225" i="56"/>
  <c r="G226" i="56"/>
  <c r="H226" i="56"/>
  <c r="I226" i="56"/>
  <c r="J226" i="56"/>
  <c r="K226" i="56"/>
  <c r="L226" i="56"/>
  <c r="M226" i="56"/>
  <c r="G227" i="56"/>
  <c r="H227" i="56"/>
  <c r="I227" i="56"/>
  <c r="J227" i="56"/>
  <c r="K227" i="56"/>
  <c r="L227" i="56"/>
  <c r="M227" i="56"/>
  <c r="G231" i="56"/>
  <c r="H231" i="56"/>
  <c r="I231" i="56"/>
  <c r="J231" i="56"/>
  <c r="K231" i="56"/>
  <c r="L231" i="56"/>
  <c r="M231" i="56"/>
  <c r="G232" i="56"/>
  <c r="H232" i="56"/>
  <c r="I232" i="56"/>
  <c r="J232" i="56"/>
  <c r="K232" i="56"/>
  <c r="L232" i="56"/>
  <c r="M232" i="56"/>
  <c r="G233" i="56" a="1"/>
  <c r="G233" i="56"/>
  <c r="H233" i="56" a="1"/>
  <c r="H233" i="56"/>
  <c r="I233" i="56" a="1"/>
  <c r="I233" i="56"/>
  <c r="J233" i="56" a="1"/>
  <c r="J233" i="56"/>
  <c r="K233" i="56" a="1"/>
  <c r="K233" i="56"/>
  <c r="L233" i="56" a="1"/>
  <c r="L233" i="56"/>
  <c r="M233" i="56" a="1"/>
  <c r="M233" i="56"/>
  <c r="G234" i="56" a="1"/>
  <c r="G234" i="56"/>
  <c r="H234" i="56" a="1"/>
  <c r="H234" i="56"/>
  <c r="I234" i="56" a="1"/>
  <c r="I234" i="56"/>
  <c r="J234" i="56" a="1"/>
  <c r="J234" i="56"/>
  <c r="K234" i="56" a="1"/>
  <c r="K234" i="56"/>
  <c r="L234" i="56" a="1"/>
  <c r="L234" i="56"/>
  <c r="M234" i="56" a="1"/>
  <c r="M234" i="56"/>
  <c r="G235" i="56" a="1"/>
  <c r="G235" i="56"/>
  <c r="H235" i="56" a="1"/>
  <c r="H235" i="56"/>
  <c r="I235" i="56" a="1"/>
  <c r="I235" i="56"/>
  <c r="J235" i="56" a="1"/>
  <c r="J235" i="56"/>
  <c r="K235" i="56" a="1"/>
  <c r="K235" i="56"/>
  <c r="L235" i="56" a="1"/>
  <c r="L235" i="56"/>
  <c r="M235" i="56" a="1"/>
  <c r="M235" i="56"/>
  <c r="G238" i="56"/>
  <c r="H238" i="56"/>
  <c r="I238" i="56"/>
  <c r="J238" i="56"/>
  <c r="K238" i="56"/>
  <c r="L238" i="56"/>
  <c r="M238" i="56"/>
  <c r="G239" i="56"/>
  <c r="H239" i="56"/>
  <c r="I239" i="56"/>
  <c r="J239" i="56"/>
  <c r="K239" i="56"/>
  <c r="L239" i="56"/>
  <c r="M239" i="56"/>
  <c r="G240" i="56" a="1"/>
  <c r="G240" i="56"/>
  <c r="H240" i="56" a="1"/>
  <c r="H240" i="56"/>
  <c r="I240" i="56" a="1"/>
  <c r="I240" i="56"/>
  <c r="J240" i="56" a="1"/>
  <c r="J240" i="56"/>
  <c r="K240" i="56" a="1"/>
  <c r="K240" i="56"/>
  <c r="L240" i="56" a="1"/>
  <c r="L240" i="56"/>
  <c r="M240" i="56" a="1"/>
  <c r="M240" i="56"/>
  <c r="G241" i="56" a="1"/>
  <c r="G241" i="56"/>
  <c r="H241" i="56" a="1"/>
  <c r="H241" i="56"/>
  <c r="I241" i="56" a="1"/>
  <c r="I241" i="56"/>
  <c r="J241" i="56" a="1"/>
  <c r="J241" i="56"/>
  <c r="K241" i="56" a="1"/>
  <c r="K241" i="56"/>
  <c r="L241" i="56" a="1"/>
  <c r="L241" i="56"/>
  <c r="M241" i="56" a="1"/>
  <c r="M241" i="56"/>
  <c r="G242" i="56" a="1"/>
  <c r="G242" i="56"/>
  <c r="H242" i="56" a="1"/>
  <c r="H242" i="56"/>
  <c r="I242" i="56" a="1"/>
  <c r="I242" i="56"/>
  <c r="J242" i="56" a="1"/>
  <c r="J242" i="56"/>
  <c r="K242" i="56" a="1"/>
  <c r="K242" i="56"/>
  <c r="L242" i="56" a="1"/>
  <c r="L242" i="56"/>
  <c r="M242" i="56" a="1"/>
  <c r="M242" i="56"/>
  <c r="G246" i="56"/>
  <c r="H246" i="56"/>
  <c r="I246" i="56"/>
  <c r="J246" i="56"/>
  <c r="K246" i="56"/>
  <c r="L246" i="56"/>
  <c r="M246" i="56"/>
  <c r="G247" i="56"/>
  <c r="H247" i="56"/>
  <c r="I247" i="56"/>
  <c r="J247" i="56"/>
  <c r="K247" i="56"/>
  <c r="L247" i="56"/>
  <c r="M247" i="56"/>
  <c r="G248" i="56" a="1"/>
  <c r="G248" i="56"/>
  <c r="H248" i="56" a="1"/>
  <c r="H248" i="56"/>
  <c r="I248" i="56" a="1"/>
  <c r="I248" i="56"/>
  <c r="J248" i="56" a="1"/>
  <c r="J248" i="56"/>
  <c r="K248" i="56" a="1"/>
  <c r="K248" i="56"/>
  <c r="L248" i="56" a="1"/>
  <c r="L248" i="56"/>
  <c r="M248" i="56" a="1"/>
  <c r="M248" i="56"/>
  <c r="G249" i="56" a="1"/>
  <c r="G249" i="56"/>
  <c r="H249" i="56" a="1"/>
  <c r="H249" i="56"/>
  <c r="I249" i="56" a="1"/>
  <c r="I249" i="56"/>
  <c r="J249" i="56" a="1"/>
  <c r="J249" i="56"/>
  <c r="K249" i="56" a="1"/>
  <c r="K249" i="56"/>
  <c r="L249" i="56" a="1"/>
  <c r="L249" i="56"/>
  <c r="M249" i="56" a="1"/>
  <c r="M249" i="56"/>
  <c r="G250" i="56" a="1"/>
  <c r="G250" i="56"/>
  <c r="H250" i="56" a="1"/>
  <c r="H250" i="56"/>
  <c r="I250" i="56" a="1"/>
  <c r="I250" i="56"/>
  <c r="J250" i="56" a="1"/>
  <c r="J250" i="56"/>
  <c r="K250" i="56" a="1"/>
  <c r="K250" i="56"/>
  <c r="L250" i="56" a="1"/>
  <c r="L250" i="56"/>
  <c r="M250" i="56" a="1"/>
  <c r="M250" i="56"/>
  <c r="G253" i="56"/>
  <c r="H253" i="56"/>
  <c r="I253" i="56"/>
  <c r="J253" i="56"/>
  <c r="K253" i="56"/>
  <c r="L253" i="56"/>
  <c r="M253" i="56"/>
  <c r="G254" i="56"/>
  <c r="H254" i="56"/>
  <c r="I254" i="56"/>
  <c r="J254" i="56"/>
  <c r="K254" i="56"/>
  <c r="L254" i="56"/>
  <c r="M254" i="56"/>
  <c r="G255" i="56" a="1"/>
  <c r="G255" i="56"/>
  <c r="H255" i="56" a="1"/>
  <c r="H255" i="56"/>
  <c r="I255" i="56" a="1"/>
  <c r="I255" i="56"/>
  <c r="J255" i="56" a="1"/>
  <c r="J255" i="56"/>
  <c r="K255" i="56" a="1"/>
  <c r="K255" i="56"/>
  <c r="L255" i="56" a="1"/>
  <c r="L255" i="56"/>
  <c r="M255" i="56" a="1"/>
  <c r="M255" i="56"/>
  <c r="G256" i="56" a="1"/>
  <c r="G256" i="56"/>
  <c r="H256" i="56" a="1"/>
  <c r="H256" i="56"/>
  <c r="I256" i="56" a="1"/>
  <c r="I256" i="56"/>
  <c r="J256" i="56" a="1"/>
  <c r="J256" i="56"/>
  <c r="K256" i="56" a="1"/>
  <c r="K256" i="56"/>
  <c r="L256" i="56" a="1"/>
  <c r="L256" i="56"/>
  <c r="M256" i="56" a="1"/>
  <c r="M256" i="56"/>
  <c r="G257" i="56" a="1"/>
  <c r="G257" i="56"/>
  <c r="H257" i="56" a="1"/>
  <c r="H257" i="56"/>
  <c r="I257" i="56" a="1"/>
  <c r="I257" i="56"/>
  <c r="J257" i="56" a="1"/>
  <c r="J257" i="56"/>
  <c r="K257" i="56" a="1"/>
  <c r="K257" i="56"/>
  <c r="L257" i="56" a="1"/>
  <c r="L257" i="56"/>
  <c r="M257" i="56" a="1"/>
  <c r="M257" i="56"/>
  <c r="G261" i="56"/>
  <c r="H261" i="56"/>
  <c r="I261" i="56"/>
  <c r="J261" i="56"/>
  <c r="K261" i="56"/>
  <c r="L261" i="56"/>
  <c r="M261" i="56"/>
  <c r="G262" i="56"/>
  <c r="H262" i="56"/>
  <c r="I262" i="56"/>
  <c r="J262" i="56"/>
  <c r="K262" i="56"/>
  <c r="L262" i="56"/>
  <c r="M262" i="56"/>
  <c r="G263" i="56" a="1"/>
  <c r="G263" i="56"/>
  <c r="H263" i="56" a="1"/>
  <c r="H263" i="56"/>
  <c r="I263" i="56" a="1"/>
  <c r="I263" i="56"/>
  <c r="J263" i="56" a="1"/>
  <c r="J263" i="56"/>
  <c r="K263" i="56" a="1"/>
  <c r="K263" i="56"/>
  <c r="L263" i="56" a="1"/>
  <c r="L263" i="56"/>
  <c r="M263" i="56" a="1"/>
  <c r="M263" i="56"/>
  <c r="G264" i="56" a="1"/>
  <c r="G264" i="56"/>
  <c r="H264" i="56" a="1"/>
  <c r="H264" i="56"/>
  <c r="I264" i="56" a="1"/>
  <c r="I264" i="56"/>
  <c r="J264" i="56" a="1"/>
  <c r="J264" i="56"/>
  <c r="K264" i="56" a="1"/>
  <c r="K264" i="56"/>
  <c r="L264" i="56" a="1"/>
  <c r="L264" i="56"/>
  <c r="M264" i="56" a="1"/>
  <c r="M264" i="56"/>
  <c r="G265" i="56" a="1"/>
  <c r="G265" i="56"/>
  <c r="H265" i="56" a="1"/>
  <c r="H265" i="56"/>
  <c r="I265" i="56" a="1"/>
  <c r="I265" i="56"/>
  <c r="J265" i="56" a="1"/>
  <c r="J265" i="56"/>
  <c r="K265" i="56" a="1"/>
  <c r="K265" i="56"/>
  <c r="L265" i="56" a="1"/>
  <c r="L265" i="56"/>
  <c r="M265" i="56" a="1"/>
  <c r="M265" i="56"/>
  <c r="G268" i="56"/>
  <c r="H268" i="56"/>
  <c r="I268" i="56"/>
  <c r="J268" i="56"/>
  <c r="K268" i="56"/>
  <c r="L268" i="56"/>
  <c r="M268" i="56"/>
  <c r="G269" i="56"/>
  <c r="H269" i="56"/>
  <c r="I269" i="56"/>
  <c r="J269" i="56"/>
  <c r="K269" i="56"/>
  <c r="L269" i="56"/>
  <c r="M269" i="56"/>
  <c r="G270" i="56" a="1"/>
  <c r="G270" i="56"/>
  <c r="H270" i="56" a="1"/>
  <c r="H270" i="56"/>
  <c r="I270" i="56" a="1"/>
  <c r="I270" i="56"/>
  <c r="J270" i="56" a="1"/>
  <c r="J270" i="56"/>
  <c r="K270" i="56" a="1"/>
  <c r="K270" i="56"/>
  <c r="L270" i="56" a="1"/>
  <c r="L270" i="56"/>
  <c r="M270" i="56" a="1"/>
  <c r="M270" i="56"/>
  <c r="G271" i="56" a="1"/>
  <c r="G271" i="56"/>
  <c r="H271" i="56" a="1"/>
  <c r="H271" i="56"/>
  <c r="I271" i="56" a="1"/>
  <c r="I271" i="56"/>
  <c r="J271" i="56" a="1"/>
  <c r="J271" i="56"/>
  <c r="K271" i="56" a="1"/>
  <c r="K271" i="56"/>
  <c r="L271" i="56" a="1"/>
  <c r="L271" i="56"/>
  <c r="M271" i="56" a="1"/>
  <c r="M271" i="56"/>
  <c r="G272" i="56" a="1"/>
  <c r="G272" i="56"/>
  <c r="H272" i="56" a="1"/>
  <c r="H272" i="56"/>
  <c r="I272" i="56" a="1"/>
  <c r="I272" i="56"/>
  <c r="J272" i="56" a="1"/>
  <c r="J272" i="56"/>
  <c r="K272" i="56" a="1"/>
  <c r="K272" i="56"/>
  <c r="L272" i="56" a="1"/>
  <c r="L272" i="56"/>
  <c r="M272" i="56" a="1"/>
  <c r="M272" i="56"/>
  <c r="G276" i="56"/>
  <c r="H276" i="56"/>
  <c r="I276" i="56"/>
  <c r="J276" i="56"/>
  <c r="K276" i="56"/>
  <c r="L276" i="56"/>
  <c r="M276" i="56"/>
  <c r="G277" i="56"/>
  <c r="H277" i="56"/>
  <c r="I277" i="56"/>
  <c r="J277" i="56"/>
  <c r="K277" i="56"/>
  <c r="L277" i="56"/>
  <c r="M277" i="56"/>
  <c r="G278" i="56" a="1"/>
  <c r="G278" i="56"/>
  <c r="H278" i="56" a="1"/>
  <c r="H278" i="56"/>
  <c r="I278" i="56" a="1"/>
  <c r="I278" i="56"/>
  <c r="J278" i="56" a="1"/>
  <c r="J278" i="56"/>
  <c r="K278" i="56" a="1"/>
  <c r="K278" i="56"/>
  <c r="L278" i="56" a="1"/>
  <c r="L278" i="56"/>
  <c r="M278" i="56" a="1"/>
  <c r="M278" i="56"/>
  <c r="G279" i="56" a="1"/>
  <c r="G279" i="56"/>
  <c r="H279" i="56" a="1"/>
  <c r="H279" i="56"/>
  <c r="I279" i="56" a="1"/>
  <c r="I279" i="56"/>
  <c r="J279" i="56" a="1"/>
  <c r="J279" i="56"/>
  <c r="K279" i="56" a="1"/>
  <c r="K279" i="56"/>
  <c r="L279" i="56" a="1"/>
  <c r="L279" i="56"/>
  <c r="M279" i="56" a="1"/>
  <c r="M279" i="56"/>
  <c r="G280" i="56" a="1"/>
  <c r="G280" i="56"/>
  <c r="H280" i="56" a="1"/>
  <c r="H280" i="56"/>
  <c r="I280" i="56" a="1"/>
  <c r="I280" i="56"/>
  <c r="J280" i="56" a="1"/>
  <c r="J280" i="56"/>
  <c r="K280" i="56" a="1"/>
  <c r="K280" i="56"/>
  <c r="L280" i="56" a="1"/>
  <c r="L280" i="56"/>
  <c r="M280" i="56" a="1"/>
  <c r="M280" i="56"/>
  <c r="G284" i="56"/>
  <c r="H284" i="56"/>
  <c r="I284" i="56"/>
  <c r="J284" i="56"/>
  <c r="K284" i="56"/>
  <c r="L284" i="56"/>
  <c r="M284" i="56"/>
  <c r="G285" i="56"/>
  <c r="H285" i="56"/>
  <c r="I285" i="56"/>
  <c r="J285" i="56"/>
  <c r="K285" i="56"/>
  <c r="L285" i="56"/>
  <c r="M285" i="56"/>
  <c r="G286" i="56" a="1"/>
  <c r="G286" i="56"/>
  <c r="H286" i="56" a="1"/>
  <c r="H286" i="56"/>
  <c r="I286" i="56" a="1"/>
  <c r="I286" i="56"/>
  <c r="J286" i="56" a="1"/>
  <c r="J286" i="56"/>
  <c r="K286" i="56" a="1"/>
  <c r="K286" i="56"/>
  <c r="L286" i="56" a="1"/>
  <c r="L286" i="56"/>
  <c r="M286" i="56" a="1"/>
  <c r="M286" i="56"/>
  <c r="G287" i="56" a="1"/>
  <c r="G287" i="56"/>
  <c r="H287" i="56" a="1"/>
  <c r="H287" i="56"/>
  <c r="I287" i="56" a="1"/>
  <c r="I287" i="56"/>
  <c r="J287" i="56" a="1"/>
  <c r="J287" i="56"/>
  <c r="K287" i="56" a="1"/>
  <c r="K287" i="56"/>
  <c r="L287" i="56" a="1"/>
  <c r="L287" i="56"/>
  <c r="M287" i="56" a="1"/>
  <c r="M287" i="56"/>
  <c r="G319" i="56"/>
  <c r="H319" i="56"/>
  <c r="I319" i="56"/>
  <c r="J319" i="56"/>
  <c r="K319" i="56"/>
  <c r="L319" i="56"/>
  <c r="M319" i="56"/>
  <c r="G320" i="56"/>
  <c r="H320" i="56"/>
  <c r="I320" i="56"/>
  <c r="J320" i="56"/>
  <c r="K320" i="56"/>
  <c r="L320" i="56"/>
  <c r="M320" i="56"/>
  <c r="G321" i="56" a="1"/>
  <c r="G321" i="56"/>
  <c r="H321" i="56" a="1"/>
  <c r="H321" i="56"/>
  <c r="I321" i="56" a="1"/>
  <c r="I321" i="56"/>
  <c r="J321" i="56" a="1"/>
  <c r="J321" i="56"/>
  <c r="K321" i="56" a="1"/>
  <c r="K321" i="56"/>
  <c r="L321" i="56" a="1"/>
  <c r="L321" i="56"/>
  <c r="M321" i="56" a="1"/>
  <c r="M321" i="56"/>
  <c r="G322" i="56" a="1"/>
  <c r="G322" i="56"/>
  <c r="H322" i="56" a="1"/>
  <c r="H322" i="56"/>
  <c r="I322" i="56" a="1"/>
  <c r="I322" i="56"/>
  <c r="J322" i="56" a="1"/>
  <c r="J322" i="56"/>
  <c r="K322" i="56" a="1"/>
  <c r="K322" i="56"/>
  <c r="L322" i="56" a="1"/>
  <c r="L322" i="56"/>
  <c r="M322" i="56" a="1"/>
  <c r="M322" i="56"/>
  <c r="G323" i="56" a="1"/>
  <c r="G323" i="56"/>
  <c r="H323" i="56" a="1"/>
  <c r="H323" i="56"/>
  <c r="I323" i="56" a="1"/>
  <c r="I323" i="56"/>
  <c r="J323" i="56" a="1"/>
  <c r="J323" i="56"/>
  <c r="K323" i="56" a="1"/>
  <c r="K323" i="56"/>
  <c r="L323" i="56" a="1"/>
  <c r="L323" i="56"/>
  <c r="M323" i="56" a="1"/>
  <c r="M323" i="56"/>
  <c r="G328" i="56"/>
  <c r="H328" i="56"/>
  <c r="I328" i="56"/>
  <c r="J328" i="56"/>
  <c r="K328" i="56"/>
  <c r="L328" i="56"/>
  <c r="M328" i="56"/>
  <c r="G329" i="56"/>
  <c r="H329" i="56"/>
  <c r="I329" i="56"/>
  <c r="J329" i="56"/>
  <c r="K329" i="56"/>
  <c r="L329" i="56"/>
  <c r="M329" i="56"/>
  <c r="G330" i="56"/>
  <c r="H330" i="56"/>
  <c r="I330" i="56"/>
  <c r="J330" i="56"/>
  <c r="K330" i="56"/>
  <c r="L330" i="56"/>
  <c r="M330" i="56"/>
  <c r="G331" i="56"/>
  <c r="H331" i="56"/>
  <c r="I331" i="56"/>
  <c r="J331" i="56"/>
  <c r="K331" i="56"/>
  <c r="L331" i="56"/>
  <c r="M331" i="56"/>
  <c r="G332" i="56"/>
  <c r="H332" i="56"/>
  <c r="I332" i="56"/>
  <c r="J332" i="56"/>
  <c r="K332" i="56"/>
  <c r="L332" i="56"/>
  <c r="M332" i="56"/>
  <c r="G333" i="56" a="1"/>
  <c r="G333" i="56"/>
  <c r="H333" i="56" a="1"/>
  <c r="H333" i="56"/>
  <c r="I333" i="56" a="1"/>
  <c r="I333" i="56"/>
  <c r="J333" i="56" a="1"/>
  <c r="J333" i="56"/>
  <c r="K333" i="56" a="1"/>
  <c r="K333" i="56"/>
  <c r="L333" i="56" a="1"/>
  <c r="L333" i="56"/>
  <c r="M333" i="56" a="1"/>
  <c r="M333" i="56"/>
  <c r="G355" i="56"/>
  <c r="H355" i="56"/>
  <c r="I355" i="56"/>
  <c r="J355" i="56"/>
  <c r="K355" i="56"/>
  <c r="L355" i="56"/>
  <c r="M355" i="56"/>
  <c r="G356" i="56"/>
  <c r="H356" i="56"/>
  <c r="I356" i="56"/>
  <c r="J356" i="56"/>
  <c r="K356" i="56"/>
  <c r="L356" i="56"/>
  <c r="M356" i="56"/>
  <c r="G357" i="56" a="1"/>
  <c r="G357" i="56"/>
  <c r="H357" i="56" a="1"/>
  <c r="H357" i="56"/>
  <c r="I357" i="56" a="1"/>
  <c r="I357" i="56"/>
  <c r="J357" i="56" a="1"/>
  <c r="J357" i="56"/>
  <c r="K357" i="56" a="1"/>
  <c r="K357" i="56"/>
  <c r="L357" i="56" a="1"/>
  <c r="L357" i="56"/>
  <c r="M357" i="56" a="1"/>
  <c r="M357" i="56"/>
  <c r="G358" i="56" a="1"/>
  <c r="G358" i="56"/>
  <c r="H358" i="56" a="1"/>
  <c r="H358" i="56"/>
  <c r="I358" i="56" a="1"/>
  <c r="I358" i="56"/>
  <c r="J358" i="56" a="1"/>
  <c r="J358" i="56"/>
  <c r="K358" i="56" a="1"/>
  <c r="K358" i="56"/>
  <c r="L358" i="56" a="1"/>
  <c r="L358" i="56"/>
  <c r="M358" i="56" a="1"/>
  <c r="M358" i="56"/>
  <c r="G359" i="56" a="1"/>
  <c r="G359" i="56"/>
  <c r="H359" i="56" a="1"/>
  <c r="H359" i="56"/>
  <c r="I359" i="56" a="1"/>
  <c r="I359" i="56"/>
  <c r="J359" i="56" a="1"/>
  <c r="J359" i="56"/>
  <c r="K359" i="56" a="1"/>
  <c r="K359" i="56"/>
  <c r="L359" i="56" a="1"/>
  <c r="L359" i="56"/>
  <c r="M359" i="56" a="1"/>
  <c r="M359" i="56"/>
  <c r="G363" i="56"/>
  <c r="H363" i="56"/>
  <c r="I363" i="56"/>
  <c r="J363" i="56"/>
  <c r="K363" i="56"/>
  <c r="L363" i="56"/>
  <c r="M363" i="56"/>
  <c r="G364" i="56"/>
  <c r="H364" i="56"/>
  <c r="I364" i="56"/>
  <c r="J364" i="56"/>
  <c r="K364" i="56"/>
  <c r="L364" i="56"/>
  <c r="M364" i="56"/>
  <c r="G365" i="56" a="1"/>
  <c r="G365" i="56"/>
  <c r="H365" i="56" a="1"/>
  <c r="H365" i="56"/>
  <c r="I365" i="56" a="1"/>
  <c r="I365" i="56"/>
  <c r="J365" i="56" a="1"/>
  <c r="J365" i="56"/>
  <c r="K365" i="56" a="1"/>
  <c r="K365" i="56"/>
  <c r="L365" i="56" a="1"/>
  <c r="L365" i="56"/>
  <c r="M365" i="56" a="1"/>
  <c r="M365" i="56"/>
  <c r="G366" i="56" a="1"/>
  <c r="G366" i="56"/>
  <c r="H366" i="56" a="1"/>
  <c r="H366" i="56"/>
  <c r="I366" i="56" a="1"/>
  <c r="I366" i="56"/>
  <c r="J366" i="56" a="1"/>
  <c r="J366" i="56"/>
  <c r="K366" i="56" a="1"/>
  <c r="K366" i="56"/>
  <c r="L366" i="56" a="1"/>
  <c r="L366" i="56"/>
  <c r="M366" i="56" a="1"/>
  <c r="M366" i="56"/>
  <c r="G367" i="56" a="1"/>
  <c r="G367" i="56"/>
  <c r="H367" i="56" a="1"/>
  <c r="H367" i="56"/>
  <c r="I367" i="56" a="1"/>
  <c r="I367" i="56"/>
  <c r="J367" i="56" a="1"/>
  <c r="J367" i="56"/>
  <c r="K367" i="56" a="1"/>
  <c r="K367" i="56"/>
  <c r="L367" i="56" a="1"/>
  <c r="L367" i="56"/>
  <c r="M367" i="56" a="1"/>
  <c r="M367" i="56"/>
  <c r="G377" i="56"/>
  <c r="H377" i="56"/>
  <c r="I377" i="56"/>
  <c r="J377" i="56"/>
  <c r="K377" i="56"/>
  <c r="L377" i="56"/>
  <c r="M377" i="56"/>
  <c r="G378" i="56"/>
  <c r="H378" i="56"/>
  <c r="I378" i="56"/>
  <c r="J378" i="56"/>
  <c r="K378" i="56"/>
  <c r="L378" i="56"/>
  <c r="M378" i="56"/>
  <c r="G379" i="56" a="1"/>
  <c r="G379" i="56"/>
  <c r="H379" i="56" a="1"/>
  <c r="H379" i="56"/>
  <c r="I379" i="56" a="1"/>
  <c r="I379" i="56"/>
  <c r="J379" i="56" a="1"/>
  <c r="J379" i="56"/>
  <c r="K379" i="56" a="1"/>
  <c r="K379" i="56"/>
  <c r="L379" i="56" a="1"/>
  <c r="L379" i="56"/>
  <c r="M379" i="56" a="1"/>
  <c r="M379" i="56"/>
  <c r="G380" i="56" a="1"/>
  <c r="G380" i="56"/>
  <c r="H380" i="56" a="1"/>
  <c r="H380" i="56"/>
  <c r="I380" i="56" a="1"/>
  <c r="I380" i="56"/>
  <c r="J380" i="56" a="1"/>
  <c r="J380" i="56"/>
  <c r="K380" i="56" a="1"/>
  <c r="K380" i="56"/>
  <c r="L380" i="56" a="1"/>
  <c r="L380" i="56"/>
  <c r="M380" i="56" a="1"/>
  <c r="M380" i="56"/>
  <c r="G381" i="56" a="1"/>
  <c r="G381" i="56"/>
  <c r="H381" i="56" a="1"/>
  <c r="H381" i="56"/>
  <c r="I381" i="56" a="1"/>
  <c r="I381" i="56"/>
  <c r="J381" i="56" a="1"/>
  <c r="J381" i="56"/>
  <c r="K381" i="56" a="1"/>
  <c r="K381" i="56"/>
  <c r="L381" i="56" a="1"/>
  <c r="L381" i="56"/>
  <c r="M381" i="56" a="1"/>
  <c r="M381" i="56"/>
  <c r="G385" i="56"/>
  <c r="H385" i="56"/>
  <c r="I385" i="56"/>
  <c r="J385" i="56"/>
  <c r="K385" i="56"/>
  <c r="L385" i="56"/>
  <c r="M385" i="56"/>
  <c r="G386" i="56"/>
  <c r="H386" i="56"/>
  <c r="I386" i="56"/>
  <c r="J386" i="56"/>
  <c r="K386" i="56"/>
  <c r="L386" i="56"/>
  <c r="M386" i="56"/>
  <c r="G387" i="56"/>
  <c r="H387" i="56"/>
  <c r="I387" i="56"/>
  <c r="J387" i="56"/>
  <c r="K387" i="56"/>
  <c r="L387" i="56"/>
  <c r="M387" i="56"/>
  <c r="G388" i="56"/>
  <c r="H388" i="56"/>
  <c r="I388" i="56"/>
  <c r="J388" i="56"/>
  <c r="K388" i="56"/>
  <c r="L388" i="56"/>
  <c r="M388" i="56"/>
  <c r="G389" i="56"/>
  <c r="H389" i="56"/>
  <c r="I389" i="56"/>
  <c r="J389" i="56"/>
  <c r="K389" i="56"/>
  <c r="L389" i="56"/>
  <c r="M389" i="56"/>
  <c r="G392" i="56"/>
  <c r="H392" i="56"/>
  <c r="I392" i="56"/>
  <c r="J392" i="56"/>
  <c r="K392" i="56"/>
  <c r="L392" i="56"/>
  <c r="M392" i="56"/>
  <c r="G393" i="56"/>
  <c r="H393" i="56"/>
  <c r="I393" i="56"/>
  <c r="J393" i="56"/>
  <c r="K393" i="56"/>
  <c r="L393" i="56"/>
  <c r="M393" i="56"/>
  <c r="G394" i="56"/>
  <c r="H394" i="56"/>
  <c r="I394" i="56"/>
  <c r="J394" i="56"/>
  <c r="K394" i="56"/>
  <c r="L394" i="56"/>
  <c r="M394" i="56"/>
  <c r="G395" i="56"/>
  <c r="H395" i="56"/>
  <c r="I395" i="56"/>
  <c r="J395" i="56"/>
  <c r="K395" i="56"/>
  <c r="L395" i="56"/>
  <c r="M395" i="56"/>
  <c r="G396" i="56"/>
  <c r="H396" i="56"/>
  <c r="I396" i="56"/>
  <c r="J396" i="56"/>
  <c r="K396" i="56"/>
  <c r="L396" i="56"/>
  <c r="M396" i="56"/>
  <c r="G399" i="56"/>
  <c r="H399" i="56"/>
  <c r="I399" i="56"/>
  <c r="J399" i="56"/>
  <c r="K399" i="56"/>
  <c r="L399" i="56"/>
  <c r="M399" i="56"/>
  <c r="G400" i="56"/>
  <c r="H400" i="56"/>
  <c r="I400" i="56"/>
  <c r="J400" i="56"/>
  <c r="K400" i="56"/>
  <c r="L400" i="56"/>
  <c r="M400" i="56"/>
  <c r="G401" i="56" a="1"/>
  <c r="G401" i="56"/>
  <c r="H401" i="56" a="1"/>
  <c r="H401" i="56"/>
  <c r="I401" i="56" a="1"/>
  <c r="I401" i="56"/>
  <c r="J401" i="56" a="1"/>
  <c r="J401" i="56"/>
  <c r="K401" i="56" a="1"/>
  <c r="K401" i="56"/>
  <c r="L401" i="56" a="1"/>
  <c r="L401" i="56"/>
  <c r="M401" i="56" a="1"/>
  <c r="M401" i="56"/>
  <c r="G402" i="56"/>
  <c r="H402" i="56"/>
  <c r="I402" i="56"/>
  <c r="J402" i="56"/>
  <c r="K402" i="56"/>
  <c r="L402" i="56"/>
  <c r="M402" i="56"/>
  <c r="G403" i="56" a="1"/>
  <c r="G403" i="56"/>
  <c r="H403" i="56" a="1"/>
  <c r="H403" i="56"/>
  <c r="I403" i="56" a="1"/>
  <c r="I403" i="56"/>
  <c r="J403" i="56" a="1"/>
  <c r="J403" i="56"/>
  <c r="K403" i="56" a="1"/>
  <c r="K403" i="56"/>
  <c r="L403" i="56" a="1"/>
  <c r="L403" i="56"/>
  <c r="M403" i="56" a="1"/>
  <c r="M403" i="56"/>
  <c r="G408" i="56"/>
  <c r="H408" i="56"/>
  <c r="I408" i="56"/>
  <c r="J408" i="56"/>
  <c r="K408" i="56"/>
  <c r="L408" i="56"/>
  <c r="M408" i="56"/>
  <c r="G409" i="56"/>
  <c r="H409" i="56"/>
  <c r="I409" i="56"/>
  <c r="J409" i="56"/>
  <c r="K409" i="56"/>
  <c r="L409" i="56"/>
  <c r="M409" i="56"/>
  <c r="G410" i="56"/>
  <c r="H410" i="56"/>
  <c r="I410" i="56"/>
  <c r="J410" i="56"/>
  <c r="K410" i="56"/>
  <c r="L410" i="56"/>
  <c r="M410" i="56"/>
  <c r="G413" i="56"/>
  <c r="H413" i="56"/>
  <c r="I413" i="56"/>
  <c r="J413" i="56"/>
  <c r="K413" i="56"/>
  <c r="L413" i="56"/>
  <c r="M413" i="56"/>
  <c r="G414" i="56"/>
  <c r="H414" i="56"/>
  <c r="I414" i="56"/>
  <c r="J414" i="56"/>
  <c r="K414" i="56"/>
  <c r="L414" i="56"/>
  <c r="M414" i="56"/>
  <c r="G415" i="56"/>
  <c r="H415" i="56"/>
  <c r="I415" i="56"/>
  <c r="J415" i="56"/>
  <c r="K415" i="56"/>
  <c r="L415" i="56"/>
  <c r="M415" i="56"/>
  <c r="G418" i="56"/>
  <c r="H418" i="56"/>
  <c r="I418" i="56"/>
  <c r="J418" i="56"/>
  <c r="K418" i="56"/>
  <c r="L418" i="56"/>
  <c r="M418" i="56"/>
  <c r="G419" i="56"/>
  <c r="H419" i="56"/>
  <c r="I419" i="56"/>
  <c r="J419" i="56"/>
  <c r="K419" i="56"/>
  <c r="L419" i="56"/>
  <c r="M419" i="56"/>
  <c r="G420" i="56"/>
  <c r="H420" i="56"/>
  <c r="I420" i="56"/>
  <c r="J420" i="56"/>
  <c r="K420" i="56"/>
  <c r="L420" i="56"/>
  <c r="M420" i="56"/>
  <c r="G423" i="56"/>
  <c r="H423" i="56"/>
  <c r="I423" i="56"/>
  <c r="J423" i="56"/>
  <c r="K423" i="56"/>
  <c r="L423" i="56"/>
  <c r="M423" i="56"/>
  <c r="G424" i="56"/>
  <c r="H424" i="56"/>
  <c r="I424" i="56"/>
  <c r="J424" i="56"/>
  <c r="K424" i="56"/>
  <c r="L424" i="56"/>
  <c r="M424" i="56"/>
  <c r="G425" i="56"/>
  <c r="H425" i="56"/>
  <c r="I425" i="56"/>
  <c r="J425" i="56"/>
  <c r="K425" i="56"/>
  <c r="L425" i="56"/>
  <c r="M425" i="56"/>
  <c r="G428" i="56"/>
  <c r="H428" i="56"/>
  <c r="I428" i="56"/>
  <c r="J428" i="56"/>
  <c r="K428" i="56"/>
  <c r="L428" i="56"/>
  <c r="M428" i="56"/>
  <c r="G429" i="56"/>
  <c r="H429" i="56"/>
  <c r="I429" i="56"/>
  <c r="J429" i="56"/>
  <c r="K429" i="56"/>
  <c r="L429" i="56"/>
  <c r="M429" i="56"/>
  <c r="G430" i="56"/>
  <c r="H430" i="56"/>
  <c r="I430" i="56"/>
  <c r="J430" i="56"/>
  <c r="K430" i="56"/>
  <c r="L430" i="56"/>
  <c r="M430" i="56"/>
  <c r="G433" i="56"/>
  <c r="H433" i="56"/>
  <c r="I433" i="56"/>
  <c r="J433" i="56"/>
  <c r="K433" i="56"/>
  <c r="L433" i="56"/>
  <c r="M433" i="56"/>
  <c r="G434" i="56"/>
  <c r="H434" i="56"/>
  <c r="I434" i="56"/>
  <c r="J434" i="56"/>
  <c r="K434" i="56"/>
  <c r="L434" i="56"/>
  <c r="M434" i="56"/>
  <c r="G435" i="56"/>
  <c r="H435" i="56"/>
  <c r="I435" i="56"/>
  <c r="J435" i="56"/>
  <c r="K435" i="56"/>
  <c r="L435" i="56"/>
  <c r="M435" i="56"/>
  <c r="G438" i="56"/>
  <c r="H438" i="56"/>
  <c r="I438" i="56"/>
  <c r="J438" i="56"/>
  <c r="K438" i="56"/>
  <c r="L438" i="56"/>
  <c r="M438" i="56"/>
  <c r="G439" i="56"/>
  <c r="H439" i="56"/>
  <c r="I439" i="56"/>
  <c r="J439" i="56"/>
  <c r="K439" i="56"/>
  <c r="L439" i="56"/>
  <c r="M439" i="56"/>
  <c r="G440" i="56"/>
  <c r="H440" i="56"/>
  <c r="I440" i="56"/>
  <c r="J440" i="56"/>
  <c r="K440" i="56"/>
  <c r="L440" i="56"/>
  <c r="M440" i="56"/>
  <c r="G443" i="56"/>
  <c r="H443" i="56"/>
  <c r="I443" i="56"/>
  <c r="J443" i="56"/>
  <c r="K443" i="56"/>
  <c r="L443" i="56"/>
  <c r="M443" i="56"/>
  <c r="G444" i="56"/>
  <c r="H444" i="56"/>
  <c r="I444" i="56"/>
  <c r="J444" i="56"/>
  <c r="K444" i="56"/>
  <c r="L444" i="56"/>
  <c r="M444" i="56"/>
  <c r="G445" i="56"/>
  <c r="H445" i="56"/>
  <c r="I445" i="56"/>
  <c r="J445" i="56"/>
  <c r="K445" i="56"/>
  <c r="L445" i="56"/>
  <c r="M445" i="56"/>
  <c r="G448" i="56"/>
  <c r="H448" i="56"/>
  <c r="I448" i="56"/>
  <c r="J448" i="56"/>
  <c r="K448" i="56"/>
  <c r="L448" i="56"/>
  <c r="M448" i="56"/>
  <c r="G449" i="56"/>
  <c r="H449" i="56"/>
  <c r="I449" i="56"/>
  <c r="J449" i="56"/>
  <c r="K449" i="56"/>
  <c r="L449" i="56"/>
  <c r="M449" i="56"/>
  <c r="G450" i="56"/>
  <c r="H450" i="56"/>
  <c r="I450" i="56"/>
  <c r="J450" i="56"/>
  <c r="K450" i="56"/>
  <c r="L450" i="56"/>
  <c r="M450" i="56"/>
  <c r="G451" i="56"/>
  <c r="H451" i="56"/>
  <c r="I451" i="56"/>
  <c r="J451" i="56"/>
  <c r="K451" i="56"/>
  <c r="L451" i="56"/>
  <c r="M451" i="56"/>
  <c r="G454" i="56"/>
  <c r="H454" i="56"/>
  <c r="I454" i="56"/>
  <c r="J454" i="56"/>
  <c r="K454" i="56"/>
  <c r="L454" i="56"/>
  <c r="M454" i="56"/>
  <c r="G455" i="56"/>
  <c r="H455" i="56"/>
  <c r="I455" i="56"/>
  <c r="J455" i="56"/>
  <c r="K455" i="56"/>
  <c r="L455" i="56"/>
  <c r="M455" i="56"/>
  <c r="G456" i="56"/>
  <c r="H456" i="56"/>
  <c r="I456" i="56"/>
  <c r="J456" i="56"/>
  <c r="K456" i="56"/>
  <c r="L456" i="56"/>
  <c r="M456" i="56"/>
  <c r="G457" i="56"/>
  <c r="H457" i="56"/>
  <c r="I457" i="56"/>
  <c r="J457" i="56"/>
  <c r="K457" i="56"/>
  <c r="L457" i="56"/>
  <c r="M457" i="56"/>
  <c r="G460" i="56"/>
  <c r="H460" i="56"/>
  <c r="I460" i="56"/>
  <c r="J460" i="56"/>
  <c r="K460" i="56"/>
  <c r="L460" i="56"/>
  <c r="M460" i="56"/>
  <c r="G461" i="56"/>
  <c r="H461" i="56"/>
  <c r="I461" i="56"/>
  <c r="J461" i="56"/>
  <c r="K461" i="56"/>
  <c r="L461" i="56"/>
  <c r="M461" i="56"/>
  <c r="G462" i="56"/>
  <c r="H462" i="56"/>
  <c r="I462" i="56"/>
  <c r="J462" i="56"/>
  <c r="K462" i="56"/>
  <c r="L462" i="56"/>
  <c r="M462" i="56"/>
  <c r="G463" i="56"/>
  <c r="H463" i="56"/>
  <c r="I463" i="56"/>
  <c r="J463" i="56"/>
  <c r="K463" i="56"/>
  <c r="L463" i="56"/>
  <c r="M463" i="56"/>
  <c r="G466" i="56"/>
  <c r="H466" i="56"/>
  <c r="I466" i="56"/>
  <c r="J466" i="56"/>
  <c r="K466" i="56"/>
  <c r="L466" i="56"/>
  <c r="M466" i="56"/>
  <c r="G467" i="56"/>
  <c r="H467" i="56"/>
  <c r="I467" i="56"/>
  <c r="J467" i="56"/>
  <c r="K467" i="56"/>
  <c r="L467" i="56"/>
  <c r="M467" i="56"/>
  <c r="G468" i="56"/>
  <c r="H468" i="56"/>
  <c r="I468" i="56"/>
  <c r="J468" i="56"/>
  <c r="K468" i="56"/>
  <c r="L468" i="56"/>
  <c r="M468" i="56"/>
  <c r="G469" i="56"/>
  <c r="H469" i="56"/>
  <c r="I469" i="56"/>
  <c r="J469" i="56"/>
  <c r="K469" i="56"/>
  <c r="L469" i="56"/>
  <c r="M469" i="56"/>
  <c r="G498" i="56"/>
  <c r="H498" i="56"/>
  <c r="I498" i="56"/>
  <c r="J498" i="56"/>
  <c r="K498" i="56"/>
  <c r="L498" i="56"/>
  <c r="M498" i="56"/>
  <c r="G499" i="56"/>
  <c r="H499" i="56"/>
  <c r="I499" i="56"/>
  <c r="J499" i="56"/>
  <c r="K499" i="56"/>
  <c r="L499" i="56"/>
  <c r="M499" i="56"/>
  <c r="G500" i="56"/>
  <c r="H500" i="56"/>
  <c r="I500" i="56"/>
  <c r="J500" i="56"/>
  <c r="K500" i="56"/>
  <c r="L500" i="56"/>
  <c r="M500" i="56"/>
  <c r="G501" i="56"/>
  <c r="H501" i="56"/>
  <c r="I501" i="56"/>
  <c r="J501" i="56"/>
  <c r="K501" i="56"/>
  <c r="L501" i="56"/>
  <c r="M501" i="56"/>
  <c r="G504" i="56"/>
  <c r="H504" i="56"/>
  <c r="I504" i="56"/>
  <c r="J504" i="56"/>
  <c r="K504" i="56"/>
  <c r="L504" i="56"/>
  <c r="M504" i="56"/>
  <c r="G505" i="56"/>
  <c r="H505" i="56"/>
  <c r="I505" i="56"/>
  <c r="J505" i="56"/>
  <c r="K505" i="56"/>
  <c r="L505" i="56"/>
  <c r="M505" i="56"/>
  <c r="G506" i="56"/>
  <c r="H506" i="56"/>
  <c r="I506" i="56"/>
  <c r="J506" i="56"/>
  <c r="K506" i="56"/>
  <c r="L506" i="56"/>
  <c r="M506" i="56"/>
  <c r="G509" i="56"/>
  <c r="H509" i="56"/>
  <c r="I509" i="56"/>
  <c r="J509" i="56"/>
  <c r="K509" i="56"/>
  <c r="L509" i="56"/>
  <c r="M509" i="56"/>
  <c r="G513" i="56"/>
  <c r="H513" i="56"/>
  <c r="I513" i="56"/>
  <c r="J513" i="56"/>
  <c r="K513" i="56"/>
  <c r="L513" i="56"/>
  <c r="M513" i="56"/>
  <c r="G514" i="56"/>
  <c r="H514" i="56"/>
  <c r="I514" i="56"/>
  <c r="J514" i="56"/>
  <c r="K514" i="56"/>
  <c r="L514" i="56"/>
  <c r="M514" i="56"/>
  <c r="G515" i="56"/>
  <c r="H515" i="56"/>
  <c r="I515" i="56"/>
  <c r="J515" i="56"/>
  <c r="K515" i="56"/>
  <c r="L515" i="56"/>
  <c r="M515" i="56"/>
  <c r="G516" i="56"/>
  <c r="H516" i="56"/>
  <c r="I516" i="56"/>
  <c r="J516" i="56"/>
  <c r="K516" i="56"/>
  <c r="L516" i="56"/>
  <c r="M516" i="56"/>
  <c r="G517" i="56"/>
  <c r="H517" i="56"/>
  <c r="I517" i="56"/>
  <c r="J517" i="56"/>
  <c r="K517" i="56"/>
  <c r="L517" i="56"/>
  <c r="M517" i="56"/>
  <c r="G520" i="56"/>
  <c r="H520" i="56"/>
  <c r="I520" i="56"/>
  <c r="J520" i="56"/>
  <c r="K520" i="56"/>
  <c r="L520" i="56"/>
  <c r="M520" i="56"/>
  <c r="G521" i="56"/>
  <c r="H521" i="56"/>
  <c r="I521" i="56"/>
  <c r="J521" i="56"/>
  <c r="K521" i="56"/>
  <c r="L521" i="56"/>
  <c r="M521" i="56"/>
  <c r="G522" i="56"/>
  <c r="H522" i="56"/>
  <c r="I522" i="56"/>
  <c r="J522" i="56"/>
  <c r="K522" i="56"/>
  <c r="L522" i="56"/>
  <c r="M522" i="56"/>
  <c r="G523" i="56"/>
  <c r="H523" i="56"/>
  <c r="I523" i="56"/>
  <c r="J523" i="56"/>
  <c r="K523" i="56"/>
  <c r="L523" i="56"/>
  <c r="M523" i="56"/>
  <c r="G524" i="56"/>
  <c r="H524" i="56"/>
  <c r="I524" i="56"/>
  <c r="J524" i="56"/>
  <c r="K524" i="56"/>
  <c r="L524" i="56"/>
  <c r="M524" i="56"/>
  <c r="G532" i="56"/>
  <c r="H532" i="56"/>
  <c r="I532" i="56"/>
  <c r="J532" i="56"/>
  <c r="K532" i="56"/>
  <c r="L532" i="56"/>
  <c r="M532" i="56"/>
  <c r="G533" i="56"/>
  <c r="H533" i="56"/>
  <c r="I533" i="56"/>
  <c r="J533" i="56"/>
  <c r="K533" i="56"/>
  <c r="L533" i="56"/>
  <c r="M533" i="56"/>
  <c r="G536" i="56"/>
  <c r="H536" i="56"/>
  <c r="I536" i="56"/>
  <c r="J536" i="56"/>
  <c r="K536" i="56"/>
  <c r="L536" i="56"/>
  <c r="M536" i="56"/>
  <c r="G537" i="56"/>
  <c r="H537" i="56"/>
  <c r="I537" i="56"/>
  <c r="J537" i="56"/>
  <c r="K537" i="56"/>
  <c r="L537" i="56"/>
  <c r="M537" i="56"/>
  <c r="G538" i="56"/>
  <c r="H538" i="56"/>
  <c r="I538" i="56"/>
  <c r="J538" i="56"/>
  <c r="K538" i="56"/>
  <c r="L538" i="56"/>
  <c r="M538" i="56"/>
  <c r="G539" i="56"/>
  <c r="H539" i="56"/>
  <c r="I539" i="56"/>
  <c r="J539" i="56"/>
  <c r="K539" i="56"/>
  <c r="L539" i="56"/>
  <c r="M539" i="56"/>
  <c r="G545" i="56"/>
  <c r="H545" i="56"/>
  <c r="I545" i="56"/>
  <c r="J545" i="56"/>
  <c r="K545" i="56"/>
  <c r="L545" i="56"/>
  <c r="M545" i="56"/>
  <c r="G546" i="56"/>
  <c r="H546" i="56"/>
  <c r="I546" i="56"/>
  <c r="J546" i="56"/>
  <c r="K546" i="56"/>
  <c r="L546" i="56"/>
  <c r="M546" i="56"/>
  <c r="G547" i="56"/>
  <c r="H547" i="56"/>
  <c r="I547" i="56"/>
  <c r="J547" i="56"/>
  <c r="K547" i="56"/>
  <c r="L547" i="56"/>
  <c r="M547" i="56"/>
  <c r="G548" i="56"/>
  <c r="H548" i="56"/>
  <c r="I548" i="56"/>
  <c r="J548" i="56"/>
  <c r="K548" i="56"/>
  <c r="L548" i="56"/>
  <c r="M548" i="56"/>
  <c r="G551" i="56"/>
  <c r="H551" i="56"/>
  <c r="I551" i="56"/>
  <c r="J551" i="56"/>
  <c r="K551" i="56"/>
  <c r="L551" i="56"/>
  <c r="M551" i="56"/>
  <c r="G552" i="56"/>
  <c r="H552" i="56"/>
  <c r="I552" i="56"/>
  <c r="J552" i="56"/>
  <c r="K552" i="56"/>
  <c r="L552" i="56"/>
  <c r="M552" i="56"/>
  <c r="G553" i="56"/>
  <c r="H553" i="56"/>
  <c r="I553" i="56"/>
  <c r="J553" i="56"/>
  <c r="K553" i="56"/>
  <c r="L553" i="56"/>
  <c r="M553" i="56"/>
  <c r="G556" i="56"/>
  <c r="H556" i="56"/>
  <c r="I556" i="56"/>
  <c r="J556" i="56"/>
  <c r="K556" i="56"/>
  <c r="L556" i="56"/>
  <c r="M556" i="56"/>
  <c r="G560" i="56"/>
  <c r="H560" i="56"/>
  <c r="I560" i="56"/>
  <c r="J560" i="56"/>
  <c r="K560" i="56"/>
  <c r="L560" i="56"/>
  <c r="M560" i="56"/>
  <c r="G561" i="56"/>
  <c r="H561" i="56"/>
  <c r="I561" i="56"/>
  <c r="J561" i="56"/>
  <c r="K561" i="56"/>
  <c r="L561" i="56"/>
  <c r="M561" i="56"/>
  <c r="G562" i="56"/>
  <c r="H562" i="56"/>
  <c r="I562" i="56"/>
  <c r="J562" i="56"/>
  <c r="K562" i="56"/>
  <c r="L562" i="56"/>
  <c r="M562" i="56"/>
  <c r="G563" i="56"/>
  <c r="H563" i="56"/>
  <c r="I563" i="56"/>
  <c r="J563" i="56"/>
  <c r="K563" i="56"/>
  <c r="L563" i="56"/>
  <c r="M563" i="56"/>
  <c r="G564" i="56"/>
  <c r="H564" i="56"/>
  <c r="I564" i="56"/>
  <c r="J564" i="56"/>
  <c r="K564" i="56"/>
  <c r="L564" i="56"/>
  <c r="M564" i="56"/>
  <c r="G567" i="56"/>
  <c r="H567" i="56"/>
  <c r="I567" i="56"/>
  <c r="J567" i="56"/>
  <c r="K567" i="56"/>
  <c r="L567" i="56"/>
  <c r="M567" i="56"/>
  <c r="G568" i="56"/>
  <c r="H568" i="56"/>
  <c r="I568" i="56"/>
  <c r="J568" i="56"/>
  <c r="K568" i="56"/>
  <c r="L568" i="56"/>
  <c r="M568" i="56"/>
  <c r="G569" i="56"/>
  <c r="H569" i="56"/>
  <c r="I569" i="56"/>
  <c r="J569" i="56"/>
  <c r="K569" i="56"/>
  <c r="L569" i="56"/>
  <c r="M569" i="56"/>
  <c r="G570" i="56"/>
  <c r="H570" i="56"/>
  <c r="I570" i="56"/>
  <c r="J570" i="56"/>
  <c r="K570" i="56"/>
  <c r="L570" i="56"/>
  <c r="M570" i="56"/>
  <c r="G571" i="56"/>
  <c r="H571" i="56"/>
  <c r="I571" i="56"/>
  <c r="J571" i="56"/>
  <c r="K571" i="56"/>
  <c r="L571" i="56"/>
  <c r="M571" i="56"/>
  <c r="G574" i="56"/>
  <c r="H574" i="56"/>
  <c r="I574" i="56"/>
  <c r="J574" i="56"/>
  <c r="K574" i="56"/>
  <c r="L574" i="56"/>
  <c r="M574" i="56"/>
  <c r="G575" i="56"/>
  <c r="H575" i="56"/>
  <c r="I575" i="56"/>
  <c r="J575" i="56"/>
  <c r="K575" i="56"/>
  <c r="L575" i="56"/>
  <c r="M575" i="56"/>
  <c r="G578" i="56"/>
  <c r="H578" i="56"/>
  <c r="I578" i="56"/>
  <c r="J578" i="56"/>
  <c r="K578" i="56"/>
  <c r="L578" i="56"/>
  <c r="M578" i="56"/>
  <c r="G579" i="56"/>
  <c r="H579" i="56"/>
  <c r="I579" i="56"/>
  <c r="J579" i="56"/>
  <c r="K579" i="56"/>
  <c r="L579" i="56"/>
  <c r="M579" i="56"/>
  <c r="G580" i="56"/>
  <c r="H580" i="56"/>
  <c r="I580" i="56"/>
  <c r="J580" i="56"/>
  <c r="K580" i="56"/>
  <c r="L580" i="56"/>
  <c r="M580" i="56"/>
  <c r="G581" i="56"/>
  <c r="H581" i="56"/>
  <c r="I581" i="56"/>
  <c r="J581" i="56"/>
  <c r="K581" i="56"/>
  <c r="L581" i="56"/>
  <c r="M581" i="56"/>
  <c r="G587" i="56"/>
  <c r="H587" i="56"/>
  <c r="I587" i="56"/>
  <c r="J587" i="56"/>
  <c r="K587" i="56"/>
  <c r="L587" i="56"/>
  <c r="M587" i="56"/>
  <c r="G588" i="56"/>
  <c r="H588" i="56"/>
  <c r="I588" i="56"/>
  <c r="J588" i="56"/>
  <c r="K588" i="56"/>
  <c r="L588" i="56"/>
  <c r="M588" i="56"/>
  <c r="G589" i="56"/>
  <c r="H589" i="56"/>
  <c r="I589" i="56"/>
  <c r="J589" i="56"/>
  <c r="K589" i="56"/>
  <c r="L589" i="56"/>
  <c r="M589" i="56"/>
  <c r="G590" i="56"/>
  <c r="H590" i="56"/>
  <c r="I590" i="56"/>
  <c r="J590" i="56"/>
  <c r="K590" i="56"/>
  <c r="L590" i="56"/>
  <c r="M590" i="56"/>
  <c r="G593" i="56"/>
  <c r="H593" i="56"/>
  <c r="I593" i="56"/>
  <c r="J593" i="56"/>
  <c r="K593" i="56"/>
  <c r="L593" i="56"/>
  <c r="M593" i="56"/>
  <c r="G594" i="56"/>
  <c r="H594" i="56"/>
  <c r="I594" i="56"/>
  <c r="J594" i="56"/>
  <c r="K594" i="56"/>
  <c r="L594" i="56"/>
  <c r="M594" i="56"/>
  <c r="G595" i="56"/>
  <c r="H595" i="56"/>
  <c r="I595" i="56"/>
  <c r="J595" i="56"/>
  <c r="K595" i="56"/>
  <c r="L595" i="56"/>
  <c r="M595" i="56"/>
  <c r="G598" i="56"/>
  <c r="H598" i="56"/>
  <c r="I598" i="56"/>
  <c r="J598" i="56"/>
  <c r="K598" i="56"/>
  <c r="L598" i="56"/>
  <c r="M598" i="56"/>
  <c r="G602" i="56"/>
  <c r="H602" i="56"/>
  <c r="I602" i="56"/>
  <c r="J602" i="56"/>
  <c r="K602" i="56"/>
  <c r="L602" i="56"/>
  <c r="M602" i="56"/>
  <c r="G603" i="56"/>
  <c r="H603" i="56"/>
  <c r="I603" i="56"/>
  <c r="J603" i="56"/>
  <c r="K603" i="56"/>
  <c r="L603" i="56"/>
  <c r="M603" i="56"/>
  <c r="G604" i="56"/>
  <c r="H604" i="56"/>
  <c r="I604" i="56"/>
  <c r="J604" i="56"/>
  <c r="K604" i="56"/>
  <c r="L604" i="56"/>
  <c r="M604" i="56"/>
  <c r="G605" i="56"/>
  <c r="H605" i="56"/>
  <c r="I605" i="56"/>
  <c r="J605" i="56"/>
  <c r="K605" i="56"/>
  <c r="L605" i="56"/>
  <c r="M605" i="56"/>
  <c r="G606" i="56"/>
  <c r="H606" i="56"/>
  <c r="I606" i="56"/>
  <c r="J606" i="56"/>
  <c r="K606" i="56"/>
  <c r="L606" i="56"/>
  <c r="M606" i="56"/>
  <c r="G609" i="56"/>
  <c r="H609" i="56"/>
  <c r="I609" i="56"/>
  <c r="J609" i="56"/>
  <c r="K609" i="56"/>
  <c r="L609" i="56"/>
  <c r="M609" i="56"/>
  <c r="G610" i="56"/>
  <c r="H610" i="56"/>
  <c r="I610" i="56"/>
  <c r="J610" i="56"/>
  <c r="K610" i="56"/>
  <c r="L610" i="56"/>
  <c r="M610" i="56"/>
  <c r="G611" i="56"/>
  <c r="H611" i="56"/>
  <c r="I611" i="56"/>
  <c r="J611" i="56"/>
  <c r="K611" i="56"/>
  <c r="L611" i="56"/>
  <c r="M611" i="56"/>
  <c r="G612" i="56"/>
  <c r="H612" i="56"/>
  <c r="I612" i="56"/>
  <c r="J612" i="56"/>
  <c r="K612" i="56"/>
  <c r="L612" i="56"/>
  <c r="M612" i="56"/>
  <c r="G613" i="56"/>
  <c r="H613" i="56"/>
  <c r="I613" i="56"/>
  <c r="J613" i="56"/>
  <c r="K613" i="56"/>
  <c r="L613" i="56"/>
  <c r="M613" i="56"/>
  <c r="G616" i="56"/>
  <c r="H616" i="56"/>
  <c r="I616" i="56"/>
  <c r="J616" i="56"/>
  <c r="K616" i="56"/>
  <c r="L616" i="56"/>
  <c r="M616" i="56"/>
  <c r="G617" i="56"/>
  <c r="H617" i="56"/>
  <c r="I617" i="56"/>
  <c r="J617" i="56"/>
  <c r="K617" i="56"/>
  <c r="L617" i="56"/>
  <c r="M617" i="56"/>
  <c r="G620" i="56"/>
  <c r="H620" i="56"/>
  <c r="I620" i="56"/>
  <c r="J620" i="56"/>
  <c r="K620" i="56"/>
  <c r="L620" i="56"/>
  <c r="M620" i="56"/>
  <c r="G621" i="56"/>
  <c r="H621" i="56"/>
  <c r="I621" i="56"/>
  <c r="J621" i="56"/>
  <c r="K621" i="56"/>
  <c r="L621" i="56"/>
  <c r="M621" i="56"/>
  <c r="G626" i="56"/>
  <c r="H626" i="56"/>
  <c r="I626" i="56"/>
  <c r="J626" i="56"/>
  <c r="K626" i="56"/>
  <c r="L626" i="56"/>
  <c r="M626" i="56"/>
  <c r="G627" i="56"/>
  <c r="H627" i="56"/>
  <c r="I627" i="56"/>
  <c r="J627" i="56"/>
  <c r="K627" i="56"/>
  <c r="L627" i="56"/>
  <c r="M627" i="56"/>
  <c r="G628" i="56"/>
  <c r="H628" i="56"/>
  <c r="I628" i="56"/>
  <c r="J628" i="56"/>
  <c r="K628" i="56"/>
  <c r="L628" i="56"/>
  <c r="M628" i="56"/>
  <c r="G629" i="56"/>
  <c r="H629" i="56"/>
  <c r="I629" i="56"/>
  <c r="J629" i="56"/>
  <c r="K629" i="56"/>
  <c r="L629" i="56"/>
  <c r="M629" i="56"/>
  <c r="G630" i="56"/>
  <c r="H630" i="56"/>
  <c r="I630" i="56"/>
  <c r="J630" i="56"/>
  <c r="K630" i="56"/>
  <c r="L630" i="56"/>
  <c r="M630" i="56"/>
  <c r="G631" i="56"/>
  <c r="H631" i="56"/>
  <c r="I631" i="56"/>
  <c r="J631" i="56"/>
  <c r="K631" i="56"/>
  <c r="L631" i="56"/>
  <c r="M631" i="56"/>
  <c r="G634" i="56"/>
  <c r="H634" i="56"/>
  <c r="I634" i="56"/>
  <c r="J634" i="56"/>
  <c r="K634" i="56"/>
  <c r="L634" i="56"/>
  <c r="M634" i="56"/>
  <c r="G635" i="56"/>
  <c r="H635" i="56"/>
  <c r="I635" i="56"/>
  <c r="J635" i="56"/>
  <c r="K635" i="56"/>
  <c r="L635" i="56"/>
  <c r="M635" i="56"/>
  <c r="G636" i="56"/>
  <c r="H636" i="56"/>
  <c r="I636" i="56"/>
  <c r="J636" i="56"/>
  <c r="K636" i="56"/>
  <c r="L636" i="56"/>
  <c r="M636" i="56"/>
  <c r="G637" i="56"/>
  <c r="H637" i="56"/>
  <c r="I637" i="56"/>
  <c r="J637" i="56"/>
  <c r="K637" i="56"/>
  <c r="L637" i="56"/>
  <c r="M637" i="56"/>
  <c r="G638" i="56"/>
  <c r="H638" i="56"/>
  <c r="I638" i="56"/>
  <c r="J638" i="56"/>
  <c r="K638" i="56"/>
  <c r="L638" i="56"/>
  <c r="M638" i="56"/>
  <c r="G639" i="56"/>
  <c r="H639" i="56"/>
  <c r="I639" i="56"/>
  <c r="J639" i="56"/>
  <c r="K639" i="56"/>
  <c r="L639" i="56"/>
  <c r="M639" i="56"/>
  <c r="G643" i="56"/>
  <c r="H643" i="56"/>
  <c r="I643" i="56"/>
  <c r="J643" i="56"/>
  <c r="K643" i="56"/>
  <c r="L643" i="56"/>
  <c r="M643" i="56"/>
  <c r="G644" i="56"/>
  <c r="H644" i="56"/>
  <c r="I644" i="56"/>
  <c r="J644" i="56"/>
  <c r="K644" i="56"/>
  <c r="L644" i="56"/>
  <c r="M644" i="56"/>
  <c r="G645" i="56"/>
  <c r="H645" i="56"/>
  <c r="I645" i="56"/>
  <c r="J645" i="56"/>
  <c r="K645" i="56"/>
  <c r="L645" i="56"/>
  <c r="M645" i="56"/>
  <c r="G648" i="56"/>
  <c r="H648" i="56"/>
  <c r="I648" i="56"/>
  <c r="J648" i="56"/>
  <c r="K648" i="56"/>
  <c r="L648" i="56"/>
  <c r="M648" i="56"/>
  <c r="G649" i="56"/>
  <c r="H649" i="56"/>
  <c r="I649" i="56"/>
  <c r="J649" i="56"/>
  <c r="K649" i="56"/>
  <c r="L649" i="56"/>
  <c r="M649" i="56"/>
  <c r="G9" i="25"/>
  <c r="H9" i="25"/>
  <c r="I9" i="25"/>
  <c r="J9" i="25"/>
  <c r="K9" i="25"/>
  <c r="L9" i="25"/>
  <c r="M9" i="25"/>
  <c r="G24" i="25"/>
  <c r="H24" i="25"/>
  <c r="I24" i="25"/>
  <c r="J24" i="25"/>
  <c r="K24" i="25"/>
  <c r="L24" i="25"/>
  <c r="M24" i="25"/>
  <c r="G25" i="25"/>
  <c r="H25" i="25"/>
  <c r="I25" i="25"/>
  <c r="J25" i="25"/>
  <c r="K25" i="25"/>
  <c r="L25" i="25"/>
  <c r="M25" i="25"/>
  <c r="G26" i="25"/>
  <c r="H26" i="25"/>
  <c r="I26" i="25"/>
  <c r="J26" i="25"/>
  <c r="K26" i="25"/>
  <c r="L26" i="25"/>
  <c r="M26" i="25"/>
  <c r="G27" i="25"/>
  <c r="H27" i="25"/>
  <c r="I27" i="25"/>
  <c r="J27" i="25"/>
  <c r="K27" i="25"/>
  <c r="L27" i="25"/>
  <c r="M27" i="25"/>
  <c r="G28" i="25"/>
  <c r="H28" i="25"/>
  <c r="I28" i="25"/>
  <c r="J28" i="25"/>
  <c r="K28" i="25"/>
  <c r="L28" i="25"/>
  <c r="M28" i="25"/>
  <c r="G29" i="25"/>
  <c r="H29" i="25"/>
  <c r="I29" i="25"/>
  <c r="J29" i="25"/>
  <c r="K29" i="25"/>
  <c r="L29" i="25"/>
  <c r="M29" i="25"/>
  <c r="G30" i="25"/>
  <c r="H30" i="25"/>
  <c r="I30" i="25"/>
  <c r="J30" i="25"/>
  <c r="K30" i="25"/>
  <c r="L30" i="25"/>
  <c r="M30" i="25"/>
  <c r="G33" i="25" a="1"/>
  <c r="G33" i="25"/>
  <c r="H33" i="25" a="1"/>
  <c r="H33" i="25"/>
  <c r="I33" i="25" a="1"/>
  <c r="I33" i="25"/>
  <c r="J33" i="25" a="1"/>
  <c r="J33" i="25"/>
  <c r="K33" i="25" a="1"/>
  <c r="K33" i="25"/>
  <c r="L33" i="25" a="1"/>
  <c r="L33" i="25"/>
  <c r="M33" i="25" a="1"/>
  <c r="M33" i="25"/>
  <c r="G34" i="25" a="1"/>
  <c r="G34" i="25"/>
  <c r="H34" i="25" a="1"/>
  <c r="H34" i="25"/>
  <c r="I34" i="25" a="1"/>
  <c r="I34" i="25"/>
  <c r="J34" i="25" a="1"/>
  <c r="J34" i="25"/>
  <c r="K34" i="25" a="1"/>
  <c r="K34" i="25"/>
  <c r="L34" i="25" a="1"/>
  <c r="L34" i="25"/>
  <c r="M34" i="25" a="1"/>
  <c r="M34" i="25"/>
  <c r="G35" i="25"/>
  <c r="H35" i="25"/>
  <c r="I35" i="25"/>
  <c r="J35" i="25"/>
  <c r="K35" i="25"/>
  <c r="L35" i="25"/>
  <c r="M35"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4" i="25" a="1"/>
  <c r="G44" i="25"/>
  <c r="H44" i="25" a="1"/>
  <c r="H44" i="25"/>
  <c r="I44" i="25" a="1"/>
  <c r="I44" i="25"/>
  <c r="J44" i="25" a="1"/>
  <c r="J44" i="25"/>
  <c r="K44" i="25" a="1"/>
  <c r="K44" i="25"/>
  <c r="L44" i="25" a="1"/>
  <c r="L44" i="25"/>
  <c r="M44" i="25" a="1"/>
  <c r="M44" i="25"/>
  <c r="G45" i="25" a="1"/>
  <c r="G45" i="25"/>
  <c r="H45" i="25" a="1"/>
  <c r="H45" i="25"/>
  <c r="I45" i="25" a="1"/>
  <c r="I45" i="25"/>
  <c r="J45" i="25" a="1"/>
  <c r="J45" i="25"/>
  <c r="K45" i="25" a="1"/>
  <c r="K45" i="25"/>
  <c r="L45" i="25" a="1"/>
  <c r="L45" i="25"/>
  <c r="M45" i="25" a="1"/>
  <c r="M45" i="25"/>
  <c r="G46" i="25"/>
  <c r="H46" i="25"/>
  <c r="I46" i="25"/>
  <c r="J46" i="25"/>
  <c r="K46" i="25"/>
  <c r="L46" i="25"/>
  <c r="M46" i="25"/>
  <c r="G47" i="25"/>
  <c r="H47" i="25"/>
  <c r="I47" i="25"/>
  <c r="J47" i="25"/>
  <c r="K47" i="25"/>
  <c r="L47" i="25"/>
  <c r="M47" i="25"/>
  <c r="G48" i="25"/>
  <c r="H48" i="25"/>
  <c r="I48" i="25"/>
  <c r="J48" i="25"/>
  <c r="K48" i="25"/>
  <c r="L48" i="25"/>
  <c r="M48" i="25"/>
  <c r="G51" i="25" a="1"/>
  <c r="G51" i="25"/>
  <c r="H51" i="25" a="1"/>
  <c r="H51" i="25"/>
  <c r="I51" i="25" a="1"/>
  <c r="I51" i="25"/>
  <c r="J51" i="25" a="1"/>
  <c r="J51" i="25"/>
  <c r="K51" i="25" a="1"/>
  <c r="K51" i="25"/>
  <c r="L51" i="25" a="1"/>
  <c r="L51" i="25"/>
  <c r="M51" i="25" a="1"/>
  <c r="M51" i="25"/>
  <c r="G52" i="25" a="1"/>
  <c r="G52" i="25"/>
  <c r="H52" i="25" a="1"/>
  <c r="H52" i="25"/>
  <c r="I52" i="25" a="1"/>
  <c r="I52" i="25"/>
  <c r="J52" i="25" a="1"/>
  <c r="J52" i="25"/>
  <c r="K52" i="25" a="1"/>
  <c r="K52" i="25"/>
  <c r="L52" i="25" a="1"/>
  <c r="L52" i="25"/>
  <c r="M52" i="25" a="1"/>
  <c r="M52" i="25"/>
  <c r="G53" i="25"/>
  <c r="H53" i="25"/>
  <c r="I53" i="25"/>
  <c r="J53" i="25"/>
  <c r="K53" i="25"/>
  <c r="L53" i="25"/>
  <c r="M53" i="25"/>
  <c r="G54" i="25"/>
  <c r="H54" i="25"/>
  <c r="I54" i="25"/>
  <c r="J54" i="25"/>
  <c r="K54" i="25"/>
  <c r="L54" i="25"/>
  <c r="M54" i="25"/>
  <c r="G55" i="25"/>
  <c r="H55" i="25"/>
  <c r="I55" i="25"/>
  <c r="J55" i="25"/>
  <c r="K55" i="25"/>
  <c r="L55" i="25"/>
  <c r="M55" i="25"/>
  <c r="G58" i="25" a="1"/>
  <c r="G58" i="25"/>
  <c r="H58" i="25" a="1"/>
  <c r="H58" i="25"/>
  <c r="I58" i="25" a="1"/>
  <c r="I58" i="25"/>
  <c r="J58" i="25" a="1"/>
  <c r="J58" i="25"/>
  <c r="K58" i="25" a="1"/>
  <c r="K58" i="25"/>
  <c r="L58" i="25" a="1"/>
  <c r="L58" i="25"/>
  <c r="M58" i="25" a="1"/>
  <c r="M58" i="25"/>
  <c r="G59" i="25" a="1"/>
  <c r="G59" i="25"/>
  <c r="H59" i="25" a="1"/>
  <c r="H59" i="25"/>
  <c r="I59" i="25" a="1"/>
  <c r="I59" i="25"/>
  <c r="J59" i="25" a="1"/>
  <c r="J59" i="25"/>
  <c r="K59" i="25" a="1"/>
  <c r="K59" i="25"/>
  <c r="L59" i="25" a="1"/>
  <c r="L59" i="25"/>
  <c r="M59" i="25" a="1"/>
  <c r="M59" i="25"/>
  <c r="G60" i="25"/>
  <c r="H60" i="25"/>
  <c r="I60" i="25"/>
  <c r="J60" i="25"/>
  <c r="K60" i="25"/>
  <c r="L60" i="25"/>
  <c r="M60" i="25"/>
  <c r="G61" i="25"/>
  <c r="H61" i="25"/>
  <c r="I61" i="25"/>
  <c r="J61" i="25"/>
  <c r="K61" i="25"/>
  <c r="L61" i="25"/>
  <c r="M61" i="25"/>
  <c r="G62" i="25"/>
  <c r="H62" i="25"/>
  <c r="I62" i="25"/>
  <c r="J62" i="25"/>
  <c r="K62" i="25"/>
  <c r="L62" i="25"/>
  <c r="M62" i="25"/>
  <c r="G65" i="25" a="1"/>
  <c r="G65" i="25"/>
  <c r="H65" i="25" a="1"/>
  <c r="H65" i="25"/>
  <c r="I65" i="25" a="1"/>
  <c r="I65" i="25"/>
  <c r="J65" i="25" a="1"/>
  <c r="J65" i="25"/>
  <c r="K65" i="25" a="1"/>
  <c r="K65" i="25"/>
  <c r="L65" i="25" a="1"/>
  <c r="L65" i="25"/>
  <c r="M65" i="25" a="1"/>
  <c r="M65" i="25"/>
  <c r="G66" i="25" a="1"/>
  <c r="G66" i="25"/>
  <c r="H66" i="25" a="1"/>
  <c r="H66" i="25"/>
  <c r="I66" i="25" a="1"/>
  <c r="I66" i="25"/>
  <c r="J66" i="25" a="1"/>
  <c r="J66" i="25"/>
  <c r="K66" i="25" a="1"/>
  <c r="K66" i="25"/>
  <c r="L66" i="25" a="1"/>
  <c r="L66" i="25"/>
  <c r="M66" i="25" a="1"/>
  <c r="M66" i="25"/>
  <c r="G67" i="25"/>
  <c r="H67" i="25"/>
  <c r="I67" i="25"/>
  <c r="J67" i="25"/>
  <c r="K67" i="25"/>
  <c r="L67" i="25"/>
  <c r="M67" i="25"/>
  <c r="G68" i="25"/>
  <c r="H68" i="25"/>
  <c r="I68" i="25"/>
  <c r="J68" i="25"/>
  <c r="K68" i="25"/>
  <c r="L68" i="25"/>
  <c r="M68" i="25"/>
  <c r="G69" i="25"/>
  <c r="H69" i="25"/>
  <c r="I69" i="25"/>
  <c r="J69" i="25"/>
  <c r="K69" i="25"/>
  <c r="L69" i="25"/>
  <c r="M69" i="25"/>
  <c r="G73" i="25"/>
  <c r="H73" i="25"/>
  <c r="I73" i="25"/>
  <c r="J73" i="25"/>
  <c r="K73" i="25"/>
  <c r="L73" i="25"/>
  <c r="M73" i="25"/>
  <c r="G74" i="25"/>
  <c r="H74" i="25"/>
  <c r="I74" i="25"/>
  <c r="J74" i="25"/>
  <c r="K74" i="25"/>
  <c r="L74" i="25"/>
  <c r="M74" i="25"/>
  <c r="G75" i="25"/>
  <c r="H75" i="25"/>
  <c r="I75" i="25"/>
  <c r="J75" i="25"/>
  <c r="K75" i="25"/>
  <c r="L75" i="25"/>
  <c r="M75" i="25"/>
  <c r="G76" i="25"/>
  <c r="H76" i="25"/>
  <c r="I76" i="25"/>
  <c r="J76" i="25"/>
  <c r="K76" i="25"/>
  <c r="L76" i="25"/>
  <c r="M76" i="25"/>
  <c r="G77" i="25"/>
  <c r="H77" i="25"/>
  <c r="I77" i="25"/>
  <c r="J77" i="25"/>
  <c r="K77" i="25"/>
  <c r="L77" i="25"/>
  <c r="M77" i="25"/>
  <c r="G78" i="25"/>
  <c r="H78" i="25"/>
  <c r="I78" i="25"/>
  <c r="J78" i="25"/>
  <c r="K78" i="25"/>
  <c r="L78" i="25"/>
  <c r="M78" i="25"/>
  <c r="G81" i="25"/>
  <c r="H81" i="25"/>
  <c r="I81" i="25"/>
  <c r="J81" i="25"/>
  <c r="K81" i="25"/>
  <c r="L81" i="25"/>
  <c r="M81" i="25"/>
  <c r="G82" i="25"/>
  <c r="H82" i="25"/>
  <c r="I82" i="25"/>
  <c r="J82" i="25"/>
  <c r="K82" i="25"/>
  <c r="L82" i="25"/>
  <c r="M82" i="25"/>
  <c r="G83" i="25"/>
  <c r="H83" i="25"/>
  <c r="I83" i="25"/>
  <c r="J83" i="25"/>
  <c r="K83" i="25"/>
  <c r="L83" i="25"/>
  <c r="M83" i="25"/>
  <c r="G84" i="25"/>
  <c r="H84" i="25"/>
  <c r="I84" i="25"/>
  <c r="J84" i="25"/>
  <c r="K84" i="25"/>
  <c r="L84" i="25"/>
  <c r="M84" i="25"/>
  <c r="G86" i="25"/>
  <c r="H86" i="25"/>
  <c r="I86" i="25"/>
  <c r="J86" i="25"/>
  <c r="K86" i="25"/>
  <c r="L86" i="25"/>
  <c r="M86" i="25"/>
  <c r="G87" i="25"/>
  <c r="H87" i="25"/>
  <c r="I87" i="25"/>
  <c r="J87" i="25"/>
  <c r="K87" i="25"/>
  <c r="L87" i="25"/>
  <c r="M87" i="25"/>
  <c r="G89" i="25"/>
  <c r="H89" i="25"/>
  <c r="I89" i="25"/>
  <c r="J89" i="25"/>
  <c r="K89" i="25"/>
  <c r="L89" i="25"/>
  <c r="M89" i="25"/>
  <c r="G90" i="25"/>
  <c r="H90" i="25"/>
  <c r="I90" i="25"/>
  <c r="J90" i="25"/>
  <c r="K90" i="25"/>
  <c r="L90" i="25"/>
  <c r="M90" i="25"/>
  <c r="G93" i="25"/>
  <c r="H93" i="25"/>
  <c r="I93" i="25"/>
  <c r="J93" i="25"/>
  <c r="K93" i="25"/>
  <c r="L93" i="25"/>
  <c r="M93" i="25"/>
  <c r="G94" i="25"/>
  <c r="H94" i="25"/>
  <c r="I94" i="25"/>
  <c r="J94" i="25"/>
  <c r="K94" i="25"/>
  <c r="L94" i="25"/>
  <c r="M94" i="25"/>
  <c r="G95" i="25"/>
  <c r="H95" i="25"/>
  <c r="I95" i="25"/>
  <c r="J95" i="25"/>
  <c r="K95" i="25"/>
  <c r="L95" i="25"/>
  <c r="M95" i="25"/>
  <c r="G96" i="25"/>
  <c r="H96" i="25"/>
  <c r="I96" i="25"/>
  <c r="J96" i="25"/>
  <c r="K96" i="25"/>
  <c r="L96" i="25"/>
  <c r="M96" i="25"/>
  <c r="G97" i="25"/>
  <c r="H97" i="25"/>
  <c r="I97" i="25"/>
  <c r="J97" i="25"/>
  <c r="K97" i="25"/>
  <c r="L97" i="25"/>
  <c r="M97" i="25"/>
  <c r="G100" i="25"/>
  <c r="H100" i="25"/>
  <c r="I100" i="25"/>
  <c r="J100" i="25"/>
  <c r="K100" i="25"/>
  <c r="L100" i="25"/>
  <c r="M100" i="25"/>
  <c r="G101" i="25"/>
  <c r="H101" i="25"/>
  <c r="I101" i="25"/>
  <c r="J101" i="25"/>
  <c r="K101" i="25"/>
  <c r="L101" i="25"/>
  <c r="M101" i="25"/>
  <c r="G102" i="25"/>
  <c r="H102" i="25"/>
  <c r="I102" i="25"/>
  <c r="J102" i="25"/>
  <c r="K102" i="25"/>
  <c r="L102" i="25"/>
  <c r="M102" i="25"/>
  <c r="G103" i="25"/>
  <c r="H103" i="25"/>
  <c r="I103" i="25"/>
  <c r="J103" i="25"/>
  <c r="K103" i="25"/>
  <c r="L103" i="25"/>
  <c r="M103" i="25"/>
  <c r="G104" i="25"/>
  <c r="H104" i="25"/>
  <c r="I104" i="25"/>
  <c r="J104" i="25"/>
  <c r="K104" i="25"/>
  <c r="L104" i="25"/>
  <c r="M104" i="25"/>
  <c r="G114" i="25"/>
  <c r="H114" i="25"/>
  <c r="I114" i="25"/>
  <c r="J114" i="25"/>
  <c r="K114" i="25"/>
  <c r="L114" i="25"/>
  <c r="M114" i="25"/>
  <c r="G115" i="25"/>
  <c r="H115" i="25"/>
  <c r="I115" i="25"/>
  <c r="J115" i="25"/>
  <c r="K115" i="25"/>
  <c r="L115" i="25"/>
  <c r="M115" i="25"/>
  <c r="G116" i="25"/>
  <c r="H116" i="25"/>
  <c r="I116" i="25"/>
  <c r="J116" i="25"/>
  <c r="K116" i="25"/>
  <c r="L116" i="25"/>
  <c r="M116" i="25"/>
  <c r="G117" i="25"/>
  <c r="H117" i="25"/>
  <c r="I117" i="25"/>
  <c r="J117" i="25"/>
  <c r="K117" i="25"/>
  <c r="L117" i="25"/>
  <c r="M117" i="25"/>
  <c r="G118" i="25"/>
  <c r="H118" i="25"/>
  <c r="I118" i="25"/>
  <c r="J118" i="25"/>
  <c r="K118" i="25"/>
  <c r="L118" i="25"/>
  <c r="M118" i="25"/>
  <c r="G119" i="25"/>
  <c r="H119" i="25"/>
  <c r="I119" i="25"/>
  <c r="J119" i="25"/>
  <c r="K119" i="25"/>
  <c r="L119" i="25"/>
  <c r="M119" i="25"/>
  <c r="G123" i="25"/>
  <c r="H123" i="25"/>
  <c r="I123" i="25"/>
  <c r="J123" i="25"/>
  <c r="K123" i="25"/>
  <c r="L123" i="25"/>
  <c r="M123" i="25"/>
  <c r="G124" i="25"/>
  <c r="H124" i="25"/>
  <c r="I124" i="25"/>
  <c r="J124" i="25"/>
  <c r="K124" i="25"/>
  <c r="L124" i="25"/>
  <c r="M124" i="25"/>
  <c r="G125" i="25"/>
  <c r="H125" i="25"/>
  <c r="I125" i="25"/>
  <c r="J125" i="25"/>
  <c r="K125" i="25"/>
  <c r="L125" i="25"/>
  <c r="M125" i="25"/>
  <c r="G126" i="25"/>
  <c r="H126" i="25"/>
  <c r="I126" i="25"/>
  <c r="J126" i="25"/>
  <c r="K126" i="25"/>
  <c r="L126" i="25"/>
  <c r="M126" i="25"/>
  <c r="G127" i="25"/>
  <c r="H127" i="25"/>
  <c r="I127" i="25"/>
  <c r="J127" i="25"/>
  <c r="K127" i="25"/>
  <c r="L127" i="25"/>
  <c r="M127" i="25"/>
  <c r="G130" i="25"/>
  <c r="H130" i="25"/>
  <c r="I130" i="25"/>
  <c r="J130" i="25"/>
  <c r="K130" i="25"/>
  <c r="L130" i="25"/>
  <c r="M130" i="25"/>
  <c r="G131" i="25"/>
  <c r="H131" i="25"/>
  <c r="I131" i="25"/>
  <c r="J131" i="25"/>
  <c r="K131" i="25"/>
  <c r="L131" i="25"/>
  <c r="M131" i="25"/>
  <c r="G135" i="25"/>
  <c r="H135" i="25"/>
  <c r="I135" i="25"/>
  <c r="J135" i="25"/>
  <c r="K135" i="25"/>
  <c r="L135" i="25"/>
  <c r="M135" i="25"/>
  <c r="G136" i="25"/>
  <c r="H136" i="25"/>
  <c r="I136" i="25"/>
  <c r="J136" i="25"/>
  <c r="K136" i="25"/>
  <c r="L136" i="25"/>
  <c r="M136" i="25"/>
  <c r="G137" i="25"/>
  <c r="H137" i="25"/>
  <c r="I137" i="25"/>
  <c r="J137" i="25"/>
  <c r="K137" i="25"/>
  <c r="L137" i="25"/>
  <c r="M137" i="25"/>
  <c r="G138" i="25"/>
  <c r="H138" i="25"/>
  <c r="I138" i="25"/>
  <c r="J138" i="25"/>
  <c r="K138" i="25"/>
  <c r="L138" i="25"/>
  <c r="M138" i="25"/>
  <c r="G139" i="25"/>
  <c r="H139" i="25"/>
  <c r="I139" i="25"/>
  <c r="J139" i="25"/>
  <c r="K139" i="25"/>
  <c r="L139" i="25"/>
  <c r="M139" i="25"/>
  <c r="G140" i="25"/>
  <c r="H140" i="25"/>
  <c r="I140" i="25"/>
  <c r="J140" i="25"/>
  <c r="K140" i="25"/>
  <c r="L140" i="25"/>
  <c r="M140" i="25"/>
  <c r="G141" i="25"/>
  <c r="H141" i="25"/>
  <c r="I141" i="25"/>
  <c r="J141" i="25"/>
  <c r="K141" i="25"/>
  <c r="L141" i="25"/>
  <c r="M141" i="25"/>
  <c r="G142" i="25"/>
  <c r="H142" i="25"/>
  <c r="I142" i="25"/>
  <c r="J142" i="25"/>
  <c r="K142" i="25"/>
  <c r="L142" i="25"/>
  <c r="M142" i="25"/>
  <c r="G143" i="25"/>
  <c r="H143" i="25"/>
  <c r="I143" i="25"/>
  <c r="J143" i="25"/>
  <c r="K143" i="25"/>
  <c r="L143" i="25"/>
  <c r="M143" i="25"/>
  <c r="G147" i="25"/>
  <c r="H147" i="25"/>
  <c r="I147" i="25"/>
  <c r="J147" i="25"/>
  <c r="K147" i="25"/>
  <c r="L147" i="25"/>
  <c r="M147" i="25"/>
  <c r="G148" i="25"/>
  <c r="H148" i="25"/>
  <c r="I148" i="25"/>
  <c r="J148" i="25"/>
  <c r="K148" i="25"/>
  <c r="L148" i="25"/>
  <c r="M148" i="25"/>
  <c r="G149" i="25"/>
  <c r="H149" i="25"/>
  <c r="I149" i="25"/>
  <c r="J149" i="25"/>
  <c r="K149" i="25"/>
  <c r="L149" i="25"/>
  <c r="M149" i="25"/>
  <c r="G150" i="25"/>
  <c r="H150" i="25"/>
  <c r="I150" i="25"/>
  <c r="J150" i="25"/>
  <c r="K150" i="25"/>
  <c r="L150" i="25"/>
  <c r="M150" i="25"/>
  <c r="G151" i="25"/>
  <c r="H151" i="25"/>
  <c r="I151" i="25"/>
  <c r="J151" i="25"/>
  <c r="K151" i="25"/>
  <c r="L151" i="25"/>
  <c r="M151" i="25"/>
  <c r="G154" i="25"/>
  <c r="H154" i="25"/>
  <c r="I154" i="25"/>
  <c r="J154" i="25"/>
  <c r="K154" i="25"/>
  <c r="L154" i="25"/>
  <c r="M154" i="25"/>
  <c r="G155" i="25"/>
  <c r="H155" i="25"/>
  <c r="I155" i="25"/>
  <c r="J155" i="25"/>
  <c r="K155" i="25"/>
  <c r="L155" i="25"/>
  <c r="M155" i="25"/>
  <c r="G159" i="25"/>
  <c r="H159" i="25"/>
  <c r="I159" i="25"/>
  <c r="J159" i="25"/>
  <c r="K159" i="25"/>
  <c r="L159" i="25"/>
  <c r="M159" i="25"/>
  <c r="G160" i="25"/>
  <c r="H160" i="25"/>
  <c r="I160" i="25"/>
  <c r="J160" i="25"/>
  <c r="K160" i="25"/>
  <c r="L160" i="25"/>
  <c r="M160" i="25"/>
  <c r="G161" i="25"/>
  <c r="H161" i="25"/>
  <c r="I161" i="25"/>
  <c r="J161" i="25"/>
  <c r="K161" i="25"/>
  <c r="L161" i="25"/>
  <c r="M161" i="25"/>
  <c r="G162" i="25"/>
  <c r="H162" i="25"/>
  <c r="I162" i="25"/>
  <c r="J162" i="25"/>
  <c r="K162" i="25"/>
  <c r="L162" i="25"/>
  <c r="M162" i="25"/>
  <c r="G163" i="25"/>
  <c r="H163" i="25"/>
  <c r="I163" i="25"/>
  <c r="J163" i="25"/>
  <c r="K163" i="25"/>
  <c r="L163" i="25"/>
  <c r="M163" i="25"/>
  <c r="G164" i="25"/>
  <c r="H164" i="25"/>
  <c r="I164" i="25"/>
  <c r="J164" i="25"/>
  <c r="K164" i="25"/>
  <c r="L164" i="25"/>
  <c r="M164" i="25"/>
  <c r="G165" i="25"/>
  <c r="H165" i="25"/>
  <c r="I165" i="25"/>
  <c r="J165" i="25"/>
  <c r="K165" i="25"/>
  <c r="L165" i="25"/>
  <c r="M165" i="25"/>
  <c r="G166" i="25"/>
  <c r="H166" i="25"/>
  <c r="I166" i="25"/>
  <c r="J166" i="25"/>
  <c r="K166" i="25"/>
  <c r="L166" i="25"/>
  <c r="M166" i="25"/>
  <c r="G167" i="25"/>
  <c r="H167" i="25"/>
  <c r="I167" i="25"/>
  <c r="J167" i="25"/>
  <c r="K167" i="25"/>
  <c r="L167" i="25"/>
  <c r="M167" i="25"/>
  <c r="G171" i="25"/>
  <c r="H171" i="25"/>
  <c r="I171" i="25"/>
  <c r="J171" i="25"/>
  <c r="K171" i="25"/>
  <c r="L171" i="25"/>
  <c r="M171" i="25"/>
  <c r="G172" i="25"/>
  <c r="H172" i="25"/>
  <c r="I172" i="25"/>
  <c r="J172" i="25"/>
  <c r="K172" i="25"/>
  <c r="L172" i="25"/>
  <c r="M172" i="25"/>
  <c r="G173" i="25"/>
  <c r="H173" i="25"/>
  <c r="I173" i="25"/>
  <c r="J173" i="25"/>
  <c r="K173" i="25"/>
  <c r="L173" i="25"/>
  <c r="M173" i="25"/>
  <c r="G174" i="25"/>
  <c r="H174" i="25"/>
  <c r="I174" i="25"/>
  <c r="J174" i="25"/>
  <c r="K174" i="25"/>
  <c r="L174" i="25"/>
  <c r="M174" i="25"/>
  <c r="G175" i="25"/>
  <c r="H175" i="25"/>
  <c r="I175" i="25"/>
  <c r="J175" i="25"/>
  <c r="K175" i="25"/>
  <c r="L175" i="25"/>
  <c r="M175" i="25"/>
  <c r="G178" i="25"/>
  <c r="H178" i="25"/>
  <c r="I178" i="25"/>
  <c r="J178" i="25"/>
  <c r="K178" i="25"/>
  <c r="L178" i="25"/>
  <c r="M178" i="25"/>
  <c r="G179" i="25"/>
  <c r="H179" i="25"/>
  <c r="I179" i="25"/>
  <c r="J179" i="25"/>
  <c r="K179" i="25"/>
  <c r="L179" i="25"/>
  <c r="M179" i="25"/>
  <c r="G10" i="4"/>
  <c r="H10" i="4"/>
  <c r="I10" i="4"/>
  <c r="J10" i="4"/>
  <c r="K10" i="4"/>
  <c r="L10" i="4"/>
  <c r="M10" i="4"/>
  <c r="G11" i="4"/>
  <c r="H11" i="4"/>
  <c r="I11" i="4"/>
  <c r="J11" i="4"/>
  <c r="K11" i="4"/>
  <c r="L11" i="4"/>
  <c r="M11" i="4"/>
  <c r="G20" i="4"/>
  <c r="H20" i="4"/>
  <c r="I20" i="4"/>
  <c r="J20" i="4"/>
  <c r="K20" i="4"/>
  <c r="L20" i="4"/>
  <c r="M20" i="4"/>
  <c r="G21" i="4"/>
  <c r="H21" i="4"/>
  <c r="I21" i="4"/>
  <c r="J21" i="4"/>
  <c r="K21" i="4"/>
  <c r="L21" i="4"/>
  <c r="M21" i="4"/>
  <c r="G22" i="4"/>
  <c r="H22" i="4"/>
  <c r="I22" i="4"/>
  <c r="J22" i="4"/>
  <c r="K22" i="4"/>
  <c r="L22" i="4"/>
  <c r="M22" i="4"/>
  <c r="G23" i="4"/>
  <c r="H23" i="4"/>
  <c r="I23" i="4"/>
  <c r="J23" i="4"/>
  <c r="K23" i="4"/>
  <c r="L23" i="4"/>
  <c r="M23" i="4"/>
  <c r="G24" i="4"/>
  <c r="H24" i="4"/>
  <c r="I24" i="4"/>
  <c r="J24" i="4"/>
  <c r="K24" i="4"/>
  <c r="L24" i="4"/>
  <c r="M24" i="4"/>
  <c r="G25" i="4"/>
  <c r="H25" i="4"/>
  <c r="I25" i="4"/>
  <c r="J25" i="4"/>
  <c r="K25" i="4"/>
  <c r="L25" i="4"/>
  <c r="M25" i="4"/>
  <c r="G28" i="4"/>
  <c r="H28" i="4"/>
  <c r="I28" i="4"/>
  <c r="J28" i="4"/>
  <c r="K28" i="4"/>
  <c r="L28" i="4"/>
  <c r="M28" i="4"/>
  <c r="G29" i="4"/>
  <c r="H29" i="4"/>
  <c r="I29" i="4"/>
  <c r="J29" i="4"/>
  <c r="K29" i="4"/>
  <c r="L29" i="4"/>
  <c r="M29" i="4"/>
  <c r="G32" i="4"/>
  <c r="H32" i="4"/>
  <c r="I32" i="4"/>
  <c r="J32" i="4"/>
  <c r="K32" i="4"/>
  <c r="L32" i="4"/>
  <c r="M32" i="4"/>
  <c r="G33" i="4"/>
  <c r="H33" i="4"/>
  <c r="I33" i="4"/>
  <c r="J33" i="4"/>
  <c r="K33" i="4"/>
  <c r="L33" i="4"/>
  <c r="M33" i="4"/>
  <c r="G36" i="4"/>
  <c r="H36" i="4"/>
  <c r="I36" i="4"/>
  <c r="J36" i="4"/>
  <c r="K36" i="4"/>
  <c r="L36" i="4"/>
  <c r="M36" i="4"/>
  <c r="G37" i="4"/>
  <c r="H37" i="4"/>
  <c r="I37" i="4"/>
  <c r="J37" i="4"/>
  <c r="K37" i="4"/>
  <c r="L37" i="4"/>
  <c r="M37" i="4"/>
  <c r="G38" i="4"/>
  <c r="H38" i="4"/>
  <c r="I38" i="4"/>
  <c r="J38" i="4"/>
  <c r="K38" i="4"/>
  <c r="L38" i="4"/>
  <c r="M38" i="4"/>
  <c r="G39" i="4"/>
  <c r="H39" i="4"/>
  <c r="I39" i="4"/>
  <c r="J39" i="4"/>
  <c r="K39" i="4"/>
  <c r="L39" i="4"/>
  <c r="M39"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1" i="4"/>
  <c r="H51" i="4"/>
  <c r="I51" i="4"/>
  <c r="J51" i="4"/>
  <c r="K51" i="4"/>
  <c r="L51" i="4"/>
  <c r="M51" i="4"/>
  <c r="G54" i="4"/>
  <c r="H54" i="4"/>
  <c r="I54" i="4"/>
  <c r="J54" i="4"/>
  <c r="K54" i="4"/>
  <c r="L54" i="4"/>
  <c r="M54" i="4"/>
  <c r="G55" i="4"/>
  <c r="H55" i="4"/>
  <c r="I55" i="4"/>
  <c r="J55" i="4"/>
  <c r="K55" i="4"/>
  <c r="L55" i="4"/>
  <c r="M55" i="4"/>
  <c r="G56" i="4"/>
  <c r="H56" i="4"/>
  <c r="I56" i="4"/>
  <c r="J56" i="4"/>
  <c r="K56" i="4"/>
  <c r="L56" i="4"/>
  <c r="M56" i="4"/>
  <c r="G57" i="4"/>
  <c r="H57" i="4"/>
  <c r="I57" i="4"/>
  <c r="J57" i="4"/>
  <c r="K57" i="4"/>
  <c r="L57" i="4"/>
  <c r="M57" i="4"/>
  <c r="G58" i="4"/>
  <c r="H58" i="4"/>
  <c r="I58" i="4"/>
  <c r="J58" i="4"/>
  <c r="K58" i="4"/>
  <c r="L58" i="4"/>
  <c r="M58" i="4"/>
  <c r="G61" i="4"/>
  <c r="H61" i="4"/>
  <c r="I61" i="4"/>
  <c r="J61" i="4"/>
  <c r="K61" i="4"/>
  <c r="L61" i="4"/>
  <c r="M61" i="4"/>
  <c r="G62" i="4"/>
  <c r="H62" i="4"/>
  <c r="I62" i="4"/>
  <c r="J62" i="4"/>
  <c r="K62" i="4"/>
  <c r="L62" i="4"/>
  <c r="M62" i="4"/>
  <c r="G63" i="4"/>
  <c r="H63" i="4"/>
  <c r="I63" i="4"/>
  <c r="J63" i="4"/>
  <c r="K63" i="4"/>
  <c r="L63" i="4"/>
  <c r="M63" i="4"/>
  <c r="G64" i="4"/>
  <c r="H64" i="4"/>
  <c r="I64" i="4"/>
  <c r="J64" i="4"/>
  <c r="K64" i="4"/>
  <c r="L64" i="4"/>
  <c r="M64" i="4"/>
  <c r="G65" i="4"/>
  <c r="H65" i="4"/>
  <c r="I65" i="4"/>
  <c r="J65" i="4"/>
  <c r="K65" i="4"/>
  <c r="L65" i="4"/>
  <c r="M65" i="4"/>
  <c r="G66" i="4"/>
  <c r="H66" i="4"/>
  <c r="I66" i="4"/>
  <c r="J66" i="4"/>
  <c r="K66" i="4"/>
  <c r="L66" i="4"/>
  <c r="M66" i="4"/>
  <c r="G67" i="4"/>
  <c r="H67" i="4"/>
  <c r="I67" i="4"/>
  <c r="J67" i="4"/>
  <c r="K67" i="4"/>
  <c r="L67" i="4"/>
  <c r="M67" i="4"/>
  <c r="G73" i="4"/>
  <c r="H73" i="4"/>
  <c r="I73" i="4"/>
  <c r="J73" i="4"/>
  <c r="K73" i="4"/>
  <c r="L73" i="4"/>
  <c r="M73" i="4"/>
  <c r="G74" i="4"/>
  <c r="H74" i="4"/>
  <c r="I74" i="4"/>
  <c r="J74" i="4"/>
  <c r="K74" i="4"/>
  <c r="L74" i="4"/>
  <c r="M74" i="4"/>
  <c r="G75" i="4"/>
  <c r="H75" i="4"/>
  <c r="I75" i="4"/>
  <c r="J75" i="4"/>
  <c r="K75" i="4"/>
  <c r="L75" i="4"/>
  <c r="M75" i="4"/>
  <c r="G76" i="4"/>
  <c r="H76" i="4"/>
  <c r="I76" i="4"/>
  <c r="J76" i="4"/>
  <c r="K76" i="4"/>
  <c r="L76" i="4"/>
  <c r="M76" i="4"/>
  <c r="G77" i="4"/>
  <c r="H77" i="4"/>
  <c r="I77" i="4"/>
  <c r="J77" i="4"/>
  <c r="K77" i="4"/>
  <c r="L77" i="4"/>
  <c r="M77" i="4"/>
  <c r="G81" i="4"/>
  <c r="H81" i="4"/>
  <c r="I81" i="4"/>
  <c r="J81" i="4"/>
  <c r="K81" i="4"/>
  <c r="L81" i="4"/>
  <c r="M81"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6" i="4"/>
  <c r="H86" i="4"/>
  <c r="I86" i="4"/>
  <c r="J86" i="4"/>
  <c r="K86" i="4"/>
  <c r="L86" i="4"/>
  <c r="M86" i="4"/>
  <c r="G87" i="4"/>
  <c r="H87" i="4"/>
  <c r="I87" i="4"/>
  <c r="J87" i="4"/>
  <c r="K87" i="4"/>
  <c r="L87" i="4"/>
  <c r="M87" i="4"/>
  <c r="G90" i="4"/>
  <c r="H90" i="4"/>
  <c r="I90" i="4"/>
  <c r="J90" i="4"/>
  <c r="K90" i="4"/>
  <c r="L90" i="4"/>
  <c r="M90" i="4"/>
  <c r="G91" i="4"/>
  <c r="H91" i="4"/>
  <c r="I91" i="4"/>
  <c r="J91" i="4"/>
  <c r="K91" i="4"/>
  <c r="L91" i="4"/>
  <c r="M91" i="4"/>
  <c r="G92" i="4"/>
  <c r="H92" i="4"/>
  <c r="I92" i="4"/>
  <c r="J92" i="4"/>
  <c r="K92" i="4"/>
  <c r="L92" i="4"/>
  <c r="M92" i="4"/>
  <c r="G93" i="4"/>
  <c r="H93" i="4"/>
  <c r="I93" i="4"/>
  <c r="J93" i="4"/>
  <c r="K93" i="4"/>
  <c r="L93" i="4"/>
  <c r="M93" i="4"/>
  <c r="G94" i="4"/>
  <c r="H94" i="4"/>
  <c r="I94" i="4"/>
  <c r="J94" i="4"/>
  <c r="K94" i="4"/>
  <c r="L94" i="4"/>
  <c r="M94" i="4"/>
  <c r="G99" i="4"/>
  <c r="H99" i="4"/>
  <c r="I99" i="4"/>
  <c r="J99" i="4"/>
  <c r="K99" i="4"/>
  <c r="L99" i="4"/>
  <c r="M99" i="4"/>
  <c r="G100" i="4"/>
  <c r="H100" i="4"/>
  <c r="I100" i="4"/>
  <c r="J100" i="4"/>
  <c r="K100" i="4"/>
  <c r="L100" i="4"/>
  <c r="M100" i="4"/>
  <c r="G101" i="4"/>
  <c r="H101" i="4"/>
  <c r="I101" i="4"/>
  <c r="J101" i="4"/>
  <c r="K101" i="4"/>
  <c r="L101" i="4"/>
  <c r="M101" i="4"/>
  <c r="G102" i="4"/>
  <c r="H102" i="4"/>
  <c r="I102" i="4"/>
  <c r="J102" i="4"/>
  <c r="K102" i="4"/>
  <c r="L102" i="4"/>
  <c r="M102" i="4"/>
  <c r="G103" i="4"/>
  <c r="H103" i="4"/>
  <c r="I103" i="4"/>
  <c r="J103" i="4"/>
  <c r="K103" i="4"/>
  <c r="L103" i="4"/>
  <c r="M103" i="4"/>
  <c r="G107" i="4"/>
  <c r="H107" i="4"/>
  <c r="I107" i="4"/>
  <c r="J107" i="4"/>
  <c r="K107" i="4"/>
  <c r="L107" i="4"/>
  <c r="M107" i="4"/>
  <c r="G108" i="4"/>
  <c r="H108" i="4"/>
  <c r="I108" i="4"/>
  <c r="J108" i="4"/>
  <c r="K108" i="4"/>
  <c r="L108" i="4"/>
  <c r="M108" i="4"/>
  <c r="G109" i="4"/>
  <c r="H109" i="4"/>
  <c r="I109" i="4"/>
  <c r="J109" i="4"/>
  <c r="K109" i="4"/>
  <c r="L109" i="4"/>
  <c r="M109" i="4"/>
  <c r="G110" i="4"/>
  <c r="H110" i="4"/>
  <c r="I110" i="4"/>
  <c r="J110" i="4"/>
  <c r="K110" i="4"/>
  <c r="L110" i="4"/>
  <c r="M110" i="4"/>
  <c r="G111" i="4"/>
  <c r="H111" i="4"/>
  <c r="I111" i="4"/>
  <c r="J111" i="4"/>
  <c r="K111" i="4"/>
  <c r="L111" i="4"/>
  <c r="M111" i="4"/>
  <c r="G112" i="4"/>
  <c r="H112" i="4"/>
  <c r="I112" i="4"/>
  <c r="J112" i="4"/>
  <c r="K112" i="4"/>
  <c r="L112" i="4"/>
  <c r="M112" i="4"/>
  <c r="G113" i="4"/>
  <c r="H113" i="4"/>
  <c r="I113" i="4"/>
  <c r="J113" i="4"/>
  <c r="K113" i="4"/>
  <c r="L113" i="4"/>
  <c r="M113" i="4"/>
  <c r="G116" i="4"/>
  <c r="H116" i="4"/>
  <c r="I116" i="4"/>
  <c r="J116" i="4"/>
  <c r="K116" i="4"/>
  <c r="L116" i="4"/>
  <c r="M116" i="4"/>
  <c r="G117" i="4"/>
  <c r="H117" i="4"/>
  <c r="I117" i="4"/>
  <c r="J117" i="4"/>
  <c r="K117" i="4"/>
  <c r="L117" i="4"/>
  <c r="M117" i="4"/>
  <c r="G118" i="4"/>
  <c r="H118" i="4"/>
  <c r="I118" i="4"/>
  <c r="J118" i="4"/>
  <c r="K118" i="4"/>
  <c r="L118" i="4"/>
  <c r="M118" i="4"/>
  <c r="G119" i="4"/>
  <c r="H119" i="4"/>
  <c r="I119" i="4"/>
  <c r="J119" i="4"/>
  <c r="K119" i="4"/>
  <c r="L119" i="4"/>
  <c r="M119" i="4"/>
  <c r="G120" i="4"/>
  <c r="H120" i="4"/>
  <c r="I120" i="4"/>
  <c r="J120" i="4"/>
  <c r="K120" i="4"/>
  <c r="L120" i="4"/>
  <c r="M120" i="4"/>
  <c r="G123" i="4"/>
  <c r="H123" i="4"/>
  <c r="I123" i="4"/>
  <c r="J123" i="4"/>
  <c r="K123" i="4"/>
  <c r="L123" i="4"/>
  <c r="M123" i="4"/>
  <c r="G124" i="4"/>
  <c r="H124" i="4"/>
  <c r="I124" i="4"/>
  <c r="J124" i="4"/>
  <c r="K124" i="4"/>
  <c r="L124" i="4"/>
  <c r="M124" i="4"/>
  <c r="G125" i="4"/>
  <c r="H125" i="4"/>
  <c r="I125" i="4"/>
  <c r="J125" i="4"/>
  <c r="K125" i="4"/>
  <c r="L125" i="4"/>
  <c r="M125" i="4"/>
  <c r="G126" i="4"/>
  <c r="H126" i="4"/>
  <c r="I126" i="4"/>
  <c r="J126" i="4"/>
  <c r="K126" i="4"/>
  <c r="L126" i="4"/>
  <c r="M126" i="4"/>
  <c r="G129" i="4"/>
  <c r="H129" i="4"/>
  <c r="I129" i="4"/>
  <c r="J129" i="4"/>
  <c r="K129" i="4"/>
  <c r="L129" i="4"/>
  <c r="M129" i="4"/>
  <c r="G130" i="4"/>
  <c r="H130" i="4"/>
  <c r="I130" i="4"/>
  <c r="J130" i="4"/>
  <c r="K130" i="4"/>
  <c r="L130" i="4"/>
  <c r="M130" i="4"/>
  <c r="G131" i="4"/>
  <c r="H131" i="4"/>
  <c r="I131" i="4"/>
  <c r="J131" i="4"/>
  <c r="K131" i="4"/>
  <c r="L131" i="4"/>
  <c r="M131" i="4"/>
  <c r="G135" i="4"/>
  <c r="H135" i="4"/>
  <c r="I135" i="4"/>
  <c r="J135" i="4"/>
  <c r="K135" i="4"/>
  <c r="L135" i="4"/>
  <c r="M135" i="4"/>
  <c r="G155" i="4"/>
  <c r="H155" i="4"/>
  <c r="I155" i="4"/>
  <c r="J155" i="4"/>
  <c r="K155" i="4"/>
  <c r="L155" i="4"/>
  <c r="M155" i="4"/>
  <c r="G156" i="4"/>
  <c r="H156" i="4"/>
  <c r="I156" i="4"/>
  <c r="J156" i="4"/>
  <c r="K156" i="4"/>
  <c r="L156" i="4"/>
  <c r="M156" i="4"/>
  <c r="G157" i="4"/>
  <c r="H157" i="4"/>
  <c r="I157" i="4"/>
  <c r="J157" i="4"/>
  <c r="K157" i="4"/>
  <c r="L157" i="4"/>
  <c r="M157" i="4"/>
  <c r="G160" i="4"/>
  <c r="H160" i="4"/>
  <c r="I160" i="4"/>
  <c r="J160" i="4"/>
  <c r="K160" i="4"/>
  <c r="L160" i="4"/>
  <c r="M160" i="4"/>
  <c r="G161" i="4"/>
  <c r="H161" i="4"/>
  <c r="I161" i="4"/>
  <c r="J161" i="4"/>
  <c r="K161" i="4"/>
  <c r="L161" i="4"/>
  <c r="M161" i="4"/>
  <c r="G162" i="4"/>
  <c r="H162" i="4"/>
  <c r="I162" i="4"/>
  <c r="J162" i="4"/>
  <c r="K162" i="4"/>
  <c r="L162" i="4"/>
  <c r="M162" i="4"/>
  <c r="G165" i="4"/>
  <c r="H165" i="4"/>
  <c r="I165" i="4"/>
  <c r="J165" i="4"/>
  <c r="K165" i="4"/>
  <c r="L165" i="4"/>
  <c r="M165" i="4"/>
  <c r="G166" i="4"/>
  <c r="H166" i="4"/>
  <c r="I166" i="4"/>
  <c r="J166" i="4"/>
  <c r="K166" i="4"/>
  <c r="L166" i="4"/>
  <c r="M166" i="4"/>
  <c r="G167" i="4"/>
  <c r="H167" i="4"/>
  <c r="I167" i="4"/>
  <c r="J167" i="4"/>
  <c r="K167" i="4"/>
  <c r="L167" i="4"/>
  <c r="M167" i="4"/>
  <c r="G168" i="4"/>
  <c r="H168" i="4"/>
  <c r="I168" i="4"/>
  <c r="J168" i="4"/>
  <c r="K168" i="4"/>
  <c r="L168" i="4"/>
  <c r="M168" i="4"/>
  <c r="G171" i="4"/>
  <c r="H171" i="4"/>
  <c r="I171" i="4"/>
  <c r="J171" i="4"/>
  <c r="K171" i="4"/>
  <c r="L171" i="4"/>
  <c r="M171" i="4"/>
  <c r="G172" i="4"/>
  <c r="H172" i="4"/>
  <c r="I172" i="4"/>
  <c r="J172" i="4"/>
  <c r="K172" i="4"/>
  <c r="L172" i="4"/>
  <c r="M172" i="4"/>
  <c r="G173" i="4"/>
  <c r="H173" i="4"/>
  <c r="I173" i="4"/>
  <c r="J173" i="4"/>
  <c r="K173" i="4"/>
  <c r="L173" i="4"/>
  <c r="M173" i="4"/>
  <c r="G174" i="4"/>
  <c r="H174" i="4"/>
  <c r="I174" i="4"/>
  <c r="J174" i="4"/>
  <c r="K174" i="4"/>
  <c r="L174" i="4"/>
  <c r="M174" i="4"/>
  <c r="G175" i="4"/>
  <c r="H175" i="4"/>
  <c r="I175" i="4"/>
  <c r="J175" i="4"/>
  <c r="K175" i="4"/>
  <c r="L175" i="4"/>
  <c r="M175" i="4"/>
  <c r="G178" i="4"/>
  <c r="H178" i="4"/>
  <c r="I178" i="4"/>
  <c r="J178" i="4"/>
  <c r="K178" i="4"/>
  <c r="L178" i="4"/>
  <c r="M178" i="4"/>
  <c r="G179" i="4"/>
  <c r="H179" i="4"/>
  <c r="I179" i="4"/>
  <c r="J179" i="4"/>
  <c r="K179" i="4"/>
  <c r="L179" i="4"/>
  <c r="M179" i="4"/>
  <c r="G180" i="4"/>
  <c r="H180" i="4"/>
  <c r="I180" i="4"/>
  <c r="J180" i="4"/>
  <c r="K180" i="4"/>
  <c r="L180" i="4"/>
  <c r="M180" i="4"/>
  <c r="G201" i="4"/>
  <c r="H201" i="4"/>
  <c r="I201" i="4"/>
  <c r="J201" i="4"/>
  <c r="K201" i="4"/>
  <c r="L201" i="4"/>
  <c r="M201"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211" i="4"/>
  <c r="H211" i="4"/>
  <c r="I211" i="4"/>
  <c r="J211" i="4"/>
  <c r="K211" i="4"/>
  <c r="L211" i="4"/>
  <c r="M211" i="4"/>
  <c r="G212" i="4"/>
  <c r="H212" i="4"/>
  <c r="I212" i="4"/>
  <c r="J212" i="4"/>
  <c r="K212" i="4"/>
  <c r="L212" i="4"/>
  <c r="M212" i="4"/>
  <c r="G15" i="14"/>
  <c r="H15" i="14"/>
  <c r="I15" i="14"/>
  <c r="J15" i="14"/>
  <c r="K15" i="14"/>
  <c r="L15" i="14"/>
  <c r="M15" i="14"/>
  <c r="G37" i="14"/>
  <c r="H37" i="14"/>
  <c r="I37" i="14"/>
  <c r="J37" i="14"/>
  <c r="K37" i="14"/>
  <c r="L37" i="14"/>
  <c r="M37" i="14"/>
  <c r="G38" i="14"/>
  <c r="H38" i="14"/>
  <c r="I38" i="14"/>
  <c r="J38" i="14"/>
  <c r="K38" i="14"/>
  <c r="L38" i="14"/>
  <c r="M38" i="14"/>
  <c r="G39" i="14"/>
  <c r="H39" i="14"/>
  <c r="I39" i="14"/>
  <c r="J39" i="14"/>
  <c r="K39" i="14"/>
  <c r="L39" i="14"/>
  <c r="M39" i="14"/>
  <c r="G40" i="14"/>
  <c r="H40" i="14"/>
  <c r="I40" i="14"/>
  <c r="J40" i="14"/>
  <c r="K40" i="14"/>
  <c r="L40" i="14"/>
  <c r="M40" i="14"/>
  <c r="G41" i="14"/>
  <c r="H41" i="14"/>
  <c r="I41" i="14"/>
  <c r="J41" i="14"/>
  <c r="K41" i="14"/>
  <c r="L41" i="14"/>
  <c r="M41" i="14"/>
  <c r="G42" i="14"/>
  <c r="H42" i="14"/>
  <c r="I42" i="14"/>
  <c r="J42" i="14"/>
  <c r="K42" i="14"/>
  <c r="L42" i="14"/>
  <c r="M42" i="14"/>
  <c r="G46" i="14"/>
  <c r="H46" i="14"/>
  <c r="I46" i="14"/>
  <c r="J46" i="14"/>
  <c r="K46" i="14"/>
  <c r="L46" i="14"/>
  <c r="M46" i="14"/>
  <c r="G47" i="14"/>
  <c r="H47" i="14"/>
  <c r="I47" i="14"/>
  <c r="J47" i="14"/>
  <c r="K47" i="14"/>
  <c r="L47" i="14"/>
  <c r="M47" i="14"/>
  <c r="G48" i="14"/>
  <c r="H48" i="14"/>
  <c r="I48" i="14"/>
  <c r="J48" i="14"/>
  <c r="K48" i="14"/>
  <c r="L48" i="14"/>
  <c r="M48" i="14"/>
  <c r="G49" i="14"/>
  <c r="H49" i="14"/>
  <c r="I49" i="14"/>
  <c r="J49" i="14"/>
  <c r="K49" i="14"/>
  <c r="L49" i="14"/>
  <c r="M49" i="14"/>
  <c r="G50" i="14"/>
  <c r="H50" i="14"/>
  <c r="I50" i="14"/>
  <c r="J50" i="14"/>
  <c r="K50" i="14"/>
  <c r="L50" i="14"/>
  <c r="M50" i="14"/>
  <c r="G51" i="14"/>
  <c r="H51" i="14"/>
  <c r="I51" i="14"/>
  <c r="J51" i="14"/>
  <c r="K51" i="14"/>
  <c r="L51" i="14"/>
  <c r="M51" i="14"/>
  <c r="G52" i="14"/>
  <c r="H52" i="14"/>
  <c r="I52" i="14"/>
  <c r="J52" i="14"/>
  <c r="K52" i="14"/>
  <c r="L52" i="14"/>
  <c r="M52" i="14"/>
  <c r="G54" i="14"/>
  <c r="H54" i="14"/>
  <c r="I54" i="14"/>
  <c r="J54" i="14"/>
  <c r="K54" i="14"/>
  <c r="L54" i="14"/>
  <c r="M54" i="14"/>
  <c r="G55" i="14"/>
  <c r="H55" i="14"/>
  <c r="I55" i="14"/>
  <c r="J55" i="14"/>
  <c r="K55" i="14"/>
  <c r="L55" i="14"/>
  <c r="M55" i="14"/>
  <c r="G56" i="14"/>
  <c r="H56" i="14"/>
  <c r="I56" i="14"/>
  <c r="J56" i="14"/>
  <c r="K56" i="14"/>
  <c r="L56" i="14"/>
  <c r="M56" i="14"/>
  <c r="G59" i="14"/>
  <c r="H59" i="14"/>
  <c r="I59" i="14"/>
  <c r="J59" i="14"/>
  <c r="K59" i="14"/>
  <c r="L59" i="14"/>
  <c r="M59" i="14"/>
  <c r="G60" i="14"/>
  <c r="H60" i="14"/>
  <c r="I60" i="14"/>
  <c r="J60" i="14"/>
  <c r="K60" i="14"/>
  <c r="L60" i="14"/>
  <c r="M60" i="14"/>
  <c r="G61" i="14"/>
  <c r="H61" i="14"/>
  <c r="I61" i="14"/>
  <c r="J61" i="14"/>
  <c r="K61" i="14"/>
  <c r="L61" i="14"/>
  <c r="M61" i="14"/>
  <c r="G62" i="14"/>
  <c r="H62" i="14"/>
  <c r="I62" i="14"/>
  <c r="J62" i="14"/>
  <c r="K62" i="14"/>
  <c r="L62" i="14"/>
  <c r="M62" i="14"/>
  <c r="G67" i="14"/>
  <c r="H67" i="14"/>
  <c r="I67" i="14"/>
  <c r="J67" i="14"/>
  <c r="K67" i="14"/>
  <c r="L67" i="14"/>
  <c r="M67" i="14"/>
  <c r="G69" i="14"/>
  <c r="H69" i="14"/>
  <c r="I69" i="14"/>
  <c r="J69" i="14"/>
  <c r="K69" i="14"/>
  <c r="L69" i="14"/>
  <c r="M69" i="14"/>
  <c r="G73" i="14"/>
  <c r="H73" i="14"/>
  <c r="I73" i="14"/>
  <c r="J73" i="14"/>
  <c r="K73" i="14"/>
  <c r="L73" i="14"/>
  <c r="M73" i="14"/>
  <c r="G74" i="14"/>
  <c r="H74" i="14"/>
  <c r="I74" i="14"/>
  <c r="J74" i="14"/>
  <c r="K74" i="14"/>
  <c r="L74" i="14"/>
  <c r="M74" i="14"/>
  <c r="G82" i="14"/>
  <c r="H82" i="14"/>
  <c r="I82" i="14"/>
  <c r="J82" i="14"/>
  <c r="K82" i="14"/>
  <c r="L82" i="14"/>
  <c r="M82" i="14"/>
  <c r="G83" i="14"/>
  <c r="H83" i="14"/>
  <c r="I83" i="14"/>
  <c r="J83" i="14"/>
  <c r="K83" i="14"/>
  <c r="L83" i="14"/>
  <c r="M83" i="14"/>
  <c r="G85" i="14"/>
  <c r="H85" i="14"/>
  <c r="I85" i="14"/>
  <c r="J85" i="14"/>
  <c r="K85" i="14"/>
  <c r="L85" i="14"/>
  <c r="M85" i="14"/>
  <c r="G94" i="14"/>
  <c r="H94" i="14"/>
  <c r="I94" i="14"/>
  <c r="J94" i="14"/>
  <c r="K94" i="14"/>
  <c r="L94" i="14"/>
  <c r="M94" i="14"/>
  <c r="G95" i="14"/>
  <c r="H95" i="14"/>
  <c r="I95" i="14"/>
  <c r="J95" i="14"/>
  <c r="K95" i="14"/>
  <c r="L95" i="14"/>
  <c r="M95" i="14"/>
  <c r="G101" i="14"/>
  <c r="H101" i="14"/>
  <c r="I101" i="14"/>
  <c r="J101" i="14"/>
  <c r="K101" i="14"/>
  <c r="L101" i="14"/>
  <c r="M101" i="14"/>
  <c r="G102" i="14"/>
  <c r="H102" i="14"/>
  <c r="I102" i="14"/>
  <c r="J102" i="14"/>
  <c r="K102" i="14"/>
  <c r="L102" i="14"/>
  <c r="M102" i="14"/>
  <c r="G104" i="14"/>
  <c r="H104" i="14"/>
  <c r="I104" i="14"/>
  <c r="J104" i="14"/>
  <c r="K104" i="14"/>
  <c r="L104" i="14"/>
  <c r="M104" i="14"/>
  <c r="G105" i="14"/>
  <c r="H105" i="14"/>
  <c r="I105" i="14"/>
  <c r="J105" i="14"/>
  <c r="K105" i="14"/>
  <c r="L105" i="14"/>
  <c r="M105" i="14"/>
  <c r="G107" i="14"/>
  <c r="H107" i="14"/>
  <c r="I107" i="14"/>
  <c r="J107" i="14"/>
  <c r="K107" i="14"/>
  <c r="L107" i="14"/>
  <c r="M107" i="14"/>
  <c r="G108" i="14"/>
  <c r="H108" i="14"/>
  <c r="I108" i="14"/>
  <c r="J108" i="14"/>
  <c r="K108" i="14"/>
  <c r="L108" i="14"/>
  <c r="M108" i="14"/>
  <c r="G109" i="14"/>
  <c r="H109" i="14"/>
  <c r="I109" i="14"/>
  <c r="J109" i="14"/>
  <c r="K109" i="14"/>
  <c r="L109" i="14"/>
  <c r="M109" i="14"/>
  <c r="G119" i="14"/>
  <c r="H119" i="14"/>
  <c r="I119" i="14"/>
  <c r="J119" i="14"/>
  <c r="K119" i="14"/>
  <c r="L119" i="14"/>
  <c r="M119" i="14"/>
  <c r="G120" i="14"/>
  <c r="H120" i="14"/>
  <c r="I120" i="14"/>
  <c r="J120" i="14"/>
  <c r="K120" i="14"/>
  <c r="L120" i="14"/>
  <c r="M120" i="14"/>
  <c r="G121" i="14"/>
  <c r="H121" i="14"/>
  <c r="I121" i="14"/>
  <c r="J121" i="14"/>
  <c r="K121" i="14"/>
  <c r="L121" i="14"/>
  <c r="M121" i="14"/>
  <c r="G122" i="14"/>
  <c r="H122" i="14"/>
  <c r="I122" i="14"/>
  <c r="J122" i="14"/>
  <c r="K122" i="14"/>
  <c r="L122" i="14"/>
  <c r="M122" i="14"/>
  <c r="G123" i="14"/>
  <c r="H123" i="14"/>
  <c r="I123" i="14"/>
  <c r="J123" i="14"/>
  <c r="K123" i="14"/>
  <c r="L123" i="14"/>
  <c r="M123" i="14"/>
  <c r="G126" i="14"/>
  <c r="H126" i="14"/>
  <c r="I126" i="14"/>
  <c r="J126" i="14"/>
  <c r="K126" i="14"/>
  <c r="L126" i="14"/>
  <c r="M126" i="14"/>
  <c r="G127" i="14"/>
  <c r="H127" i="14"/>
  <c r="I127" i="14"/>
  <c r="J127" i="14"/>
  <c r="K127" i="14"/>
  <c r="L127" i="14"/>
  <c r="M127" i="14"/>
  <c r="G131" i="14"/>
  <c r="H131" i="14"/>
  <c r="I131" i="14"/>
  <c r="J131" i="14"/>
  <c r="K131" i="14"/>
  <c r="L131" i="14"/>
  <c r="M131" i="14"/>
  <c r="G132" i="14"/>
  <c r="H132" i="14"/>
  <c r="I132" i="14"/>
  <c r="J132" i="14"/>
  <c r="K132" i="14"/>
  <c r="L132" i="14"/>
  <c r="M132" i="14"/>
  <c r="G133" i="14"/>
  <c r="H133" i="14"/>
  <c r="I133" i="14"/>
  <c r="J133" i="14"/>
  <c r="K133" i="14"/>
  <c r="L133" i="14"/>
  <c r="M133" i="14"/>
  <c r="G134" i="14"/>
  <c r="H134" i="14"/>
  <c r="I134" i="14"/>
  <c r="J134" i="14"/>
  <c r="K134" i="14"/>
  <c r="L134" i="14"/>
  <c r="M134" i="14"/>
  <c r="G136" i="14"/>
  <c r="H136" i="14"/>
  <c r="I136" i="14"/>
  <c r="J136" i="14"/>
  <c r="K136" i="14"/>
  <c r="L136" i="14"/>
  <c r="M136" i="14"/>
  <c r="G137" i="14"/>
  <c r="H137" i="14"/>
  <c r="I137" i="14"/>
  <c r="J137" i="14"/>
  <c r="K137" i="14"/>
  <c r="L137" i="14"/>
  <c r="M137" i="14"/>
  <c r="G138" i="14"/>
  <c r="H138" i="14"/>
  <c r="I138" i="14"/>
  <c r="J138" i="14"/>
  <c r="K138" i="14"/>
  <c r="L138" i="14"/>
  <c r="M138" i="14"/>
  <c r="G139" i="14"/>
  <c r="H139" i="14"/>
  <c r="I139" i="14"/>
  <c r="J139" i="14"/>
  <c r="K139" i="14"/>
  <c r="L139" i="14"/>
  <c r="M139" i="14"/>
  <c r="G140" i="14"/>
  <c r="H140" i="14"/>
  <c r="I140" i="14"/>
  <c r="J140" i="14"/>
  <c r="K140" i="14"/>
  <c r="L140" i="14"/>
  <c r="M140" i="14"/>
  <c r="G141" i="14"/>
  <c r="H141" i="14"/>
  <c r="I141" i="14"/>
  <c r="J141" i="14"/>
  <c r="K141" i="14"/>
  <c r="L141" i="14"/>
  <c r="M141" i="14"/>
  <c r="G142" i="14"/>
  <c r="H142" i="14"/>
  <c r="I142" i="14"/>
  <c r="J142" i="14"/>
  <c r="K142" i="14"/>
  <c r="L142" i="14"/>
  <c r="M142" i="14"/>
  <c r="G145" i="14"/>
  <c r="H145" i="14"/>
  <c r="I145" i="14"/>
  <c r="J145" i="14"/>
  <c r="K145" i="14"/>
  <c r="L145" i="14"/>
  <c r="M145" i="14"/>
  <c r="G146" i="14"/>
  <c r="H146" i="14"/>
  <c r="I146" i="14"/>
  <c r="J146" i="14"/>
  <c r="K146" i="14"/>
  <c r="L146" i="14"/>
  <c r="M146" i="14"/>
  <c r="G147" i="14"/>
  <c r="H147" i="14"/>
  <c r="I147" i="14"/>
  <c r="J147" i="14"/>
  <c r="K147" i="14"/>
  <c r="L147" i="14"/>
  <c r="M147" i="14"/>
  <c r="G152" i="14"/>
  <c r="H152" i="14"/>
  <c r="I152" i="14"/>
  <c r="J152" i="14"/>
  <c r="K152" i="14"/>
  <c r="L152" i="14"/>
  <c r="M152" i="14"/>
  <c r="G153" i="14"/>
  <c r="H153" i="14"/>
  <c r="I153" i="14"/>
  <c r="J153" i="14"/>
  <c r="K153" i="14"/>
  <c r="L153" i="14"/>
  <c r="M153" i="14"/>
  <c r="G154" i="14"/>
  <c r="H154" i="14"/>
  <c r="I154" i="14"/>
  <c r="J154" i="14"/>
  <c r="K154" i="14"/>
  <c r="L154" i="14"/>
  <c r="M154" i="14"/>
  <c r="G155" i="14"/>
  <c r="H155" i="14"/>
  <c r="I155" i="14"/>
  <c r="J155" i="14"/>
  <c r="K155" i="14"/>
  <c r="L155" i="14"/>
  <c r="M155" i="14"/>
  <c r="G156" i="14" a="1"/>
  <c r="G156" i="14"/>
  <c r="H156" i="14" a="1"/>
  <c r="H156" i="14"/>
  <c r="I156" i="14" a="1"/>
  <c r="I156" i="14"/>
  <c r="J156" i="14" a="1"/>
  <c r="J156" i="14"/>
  <c r="K156" i="14" a="1"/>
  <c r="K156" i="14"/>
  <c r="L156" i="14" a="1"/>
  <c r="L156" i="14"/>
  <c r="M156" i="14" a="1"/>
  <c r="M156" i="14"/>
  <c r="G157" i="14"/>
  <c r="H157" i="14"/>
  <c r="I157" i="14"/>
  <c r="J157" i="14"/>
  <c r="K157" i="14"/>
  <c r="L157" i="14"/>
  <c r="M157" i="14"/>
  <c r="G158" i="14"/>
  <c r="H158" i="14"/>
  <c r="I158" i="14"/>
  <c r="J158" i="14"/>
  <c r="K158" i="14"/>
  <c r="L158" i="14"/>
  <c r="M158" i="14"/>
  <c r="G163" i="14"/>
  <c r="H163" i="14"/>
  <c r="I163" i="14"/>
  <c r="J163" i="14"/>
  <c r="K163" i="14"/>
  <c r="L163" i="14"/>
  <c r="M163" i="14"/>
  <c r="G165" i="14"/>
  <c r="H165" i="14"/>
  <c r="I165" i="14"/>
  <c r="J165" i="14"/>
  <c r="K165" i="14"/>
  <c r="L165" i="14"/>
  <c r="M165" i="14"/>
  <c r="E49" i="52"/>
  <c r="E50" i="52"/>
  <c r="E51" i="52"/>
  <c r="C56" i="52"/>
  <c r="D56" i="52"/>
  <c r="C57" i="52"/>
  <c r="D57" i="52"/>
  <c r="C58" i="52"/>
  <c r="D58" i="52"/>
  <c r="C59" i="52"/>
  <c r="D59" i="52"/>
  <c r="C60" i="52"/>
  <c r="D60" i="52"/>
  <c r="C61" i="52"/>
  <c r="D61" i="52"/>
  <c r="C62" i="52"/>
  <c r="D62" i="52"/>
  <c r="C63" i="52"/>
  <c r="D63" i="52"/>
  <c r="C64" i="52"/>
  <c r="D64" i="52"/>
  <c r="C65" i="52"/>
  <c r="D65" i="52"/>
  <c r="C66" i="52"/>
  <c r="D66" i="52"/>
  <c r="D80" i="52"/>
  <c r="D81" i="52"/>
  <c r="D82" i="52"/>
  <c r="D83" i="52"/>
  <c r="D84" i="52"/>
  <c r="D85" i="52"/>
  <c r="D86" i="52"/>
  <c r="D87" i="52"/>
  <c r="D88" i="52"/>
  <c r="D89" i="52"/>
  <c r="D90" i="52"/>
  <c r="D91" i="52"/>
  <c r="D92" i="52"/>
  <c r="D93" i="52"/>
  <c r="E127" i="52"/>
  <c r="E128" i="52"/>
  <c r="E129" i="52"/>
  <c r="E131" i="52"/>
  <c r="E142" i="52"/>
  <c r="E143" i="52"/>
  <c r="E144" i="52"/>
  <c r="E146" i="52"/>
  <c r="E147" i="52"/>
  <c r="E148" i="52"/>
  <c r="E149" i="52"/>
  <c r="E154" i="52"/>
  <c r="E155" i="52"/>
  <c r="E156" i="52"/>
  <c r="E157" i="52"/>
  <c r="E158" i="52"/>
  <c r="E159" i="52"/>
  <c r="E160" i="52"/>
  <c r="E161" i="52"/>
  <c r="E162" i="52"/>
  <c r="E163" i="52"/>
  <c r="E164" i="52"/>
  <c r="E167" i="52"/>
  <c r="E168" i="52"/>
  <c r="E169" i="52"/>
  <c r="E170" i="52"/>
  <c r="E171" i="52"/>
  <c r="E172" i="52"/>
  <c r="E173" i="52"/>
  <c r="E174" i="52"/>
  <c r="E175" i="52"/>
  <c r="E176" i="52"/>
  <c r="E177" i="52"/>
  <c r="E181" i="52"/>
  <c r="E182" i="52"/>
  <c r="E183" i="52"/>
  <c r="E184" i="52"/>
  <c r="E185" i="52"/>
  <c r="E186" i="52"/>
  <c r="E187" i="52"/>
  <c r="E188" i="52"/>
  <c r="E189" i="52"/>
  <c r="E190" i="52"/>
  <c r="E191" i="52"/>
  <c r="E194" i="52"/>
  <c r="E195" i="52"/>
  <c r="E196" i="52"/>
  <c r="E197" i="52"/>
  <c r="E198" i="52"/>
  <c r="E199" i="52"/>
  <c r="E200" i="52"/>
  <c r="E201" i="52"/>
  <c r="E202" i="52"/>
  <c r="E203" i="52"/>
  <c r="E204" i="52"/>
  <c r="E208" i="52"/>
  <c r="E209" i="52"/>
  <c r="E210" i="52"/>
  <c r="E211" i="52"/>
  <c r="E212" i="52"/>
  <c r="E213" i="52"/>
  <c r="E214" i="52"/>
  <c r="E215" i="52"/>
  <c r="E216" i="52"/>
  <c r="E217" i="52"/>
  <c r="E218" i="52"/>
  <c r="E221" i="52"/>
  <c r="E222" i="52"/>
  <c r="G18" i="22"/>
  <c r="H18" i="22"/>
  <c r="I18" i="22"/>
  <c r="J18" i="22"/>
  <c r="K18" i="22"/>
  <c r="L18" i="22"/>
  <c r="M18" i="22"/>
  <c r="G20" i="22"/>
  <c r="H20" i="22"/>
  <c r="I20" i="22"/>
  <c r="J20" i="22"/>
  <c r="K20" i="22"/>
  <c r="L20" i="22"/>
  <c r="M20" i="22"/>
  <c r="G21" i="22"/>
  <c r="H21" i="22"/>
  <c r="I21" i="22"/>
  <c r="J21" i="22"/>
  <c r="K21" i="22"/>
  <c r="L21" i="22"/>
  <c r="M21" i="22"/>
  <c r="G23" i="22"/>
  <c r="H23" i="22"/>
  <c r="I23" i="22"/>
  <c r="J23" i="22"/>
  <c r="K23" i="22"/>
  <c r="L23" i="22"/>
  <c r="M23" i="22"/>
  <c r="G24" i="22"/>
  <c r="H24" i="22"/>
  <c r="I24" i="22"/>
  <c r="J24" i="22"/>
  <c r="K24" i="22"/>
  <c r="L24" i="22"/>
  <c r="M24" i="22"/>
  <c r="G25" i="22"/>
  <c r="H25" i="22"/>
  <c r="I25" i="22"/>
  <c r="J25" i="22"/>
  <c r="K25" i="22"/>
  <c r="L25" i="22"/>
  <c r="M25" i="22"/>
  <c r="G27" i="22"/>
  <c r="H27" i="22"/>
  <c r="I27" i="22"/>
  <c r="J27" i="22"/>
  <c r="K27" i="22"/>
  <c r="L27" i="22"/>
  <c r="M27" i="22"/>
  <c r="G28" i="22"/>
  <c r="H28" i="22"/>
  <c r="I28" i="22"/>
  <c r="J28" i="22"/>
  <c r="K28" i="22"/>
  <c r="L28" i="22"/>
  <c r="M28" i="22"/>
  <c r="G29" i="22"/>
  <c r="H29" i="22"/>
  <c r="I29" i="22"/>
  <c r="J29" i="22"/>
  <c r="K29" i="22"/>
  <c r="L29" i="22"/>
  <c r="M29" i="22"/>
  <c r="G30" i="22"/>
  <c r="H30" i="22"/>
  <c r="I30" i="22"/>
  <c r="J30" i="22"/>
  <c r="K30" i="22"/>
  <c r="L30" i="22"/>
  <c r="M30" i="22"/>
  <c r="G35" i="22"/>
  <c r="H35" i="22"/>
  <c r="I35" i="22"/>
  <c r="J35" i="22"/>
  <c r="K35" i="22"/>
  <c r="L35" i="22"/>
  <c r="M35" i="22"/>
  <c r="G37" i="22"/>
  <c r="H37" i="22"/>
  <c r="I37" i="22"/>
  <c r="J37" i="22"/>
  <c r="K37" i="22"/>
  <c r="L37" i="22"/>
  <c r="M37" i="22"/>
  <c r="G44" i="22"/>
  <c r="H44" i="22"/>
  <c r="I44" i="22"/>
  <c r="J44" i="22"/>
  <c r="K44" i="22"/>
  <c r="L44" i="22"/>
  <c r="M44" i="22"/>
  <c r="G45" i="22"/>
  <c r="H45" i="22"/>
  <c r="I45" i="22"/>
  <c r="J45" i="22"/>
  <c r="K45" i="22"/>
  <c r="L45" i="22"/>
  <c r="M45" i="22"/>
  <c r="G46" i="22"/>
  <c r="H46" i="22"/>
  <c r="I46" i="22"/>
  <c r="J46" i="22"/>
  <c r="K46" i="22"/>
  <c r="L46" i="22"/>
  <c r="M46" i="22"/>
  <c r="G47" i="22"/>
  <c r="H47" i="22"/>
  <c r="I47" i="22"/>
  <c r="J47" i="22"/>
  <c r="K47" i="22"/>
  <c r="L47" i="22"/>
  <c r="M47" i="22"/>
  <c r="G52" i="22"/>
  <c r="H52" i="22"/>
  <c r="I52" i="22"/>
  <c r="J52" i="22"/>
  <c r="K52" i="22"/>
  <c r="L52" i="22"/>
  <c r="M52" i="22"/>
  <c r="G54" i="22"/>
  <c r="H54" i="22"/>
  <c r="I54" i="22"/>
  <c r="J54" i="22"/>
  <c r="K54" i="22"/>
  <c r="L54" i="22"/>
  <c r="M54" i="22"/>
  <c r="G55" i="22"/>
  <c r="H55" i="22"/>
  <c r="I55" i="22"/>
  <c r="J55" i="22"/>
  <c r="K55" i="22"/>
  <c r="L55" i="22"/>
  <c r="M55" i="22"/>
  <c r="G57" i="22"/>
  <c r="H57" i="22"/>
  <c r="I57" i="22"/>
  <c r="J57" i="22"/>
  <c r="K57" i="22"/>
  <c r="L57" i="22"/>
  <c r="M57" i="22"/>
  <c r="G58" i="22"/>
  <c r="H58" i="22"/>
  <c r="I58" i="22"/>
  <c r="J58" i="22"/>
  <c r="K58" i="22"/>
  <c r="L58" i="22"/>
  <c r="M58" i="22"/>
  <c r="G59" i="22"/>
  <c r="H59" i="22"/>
  <c r="I59" i="22"/>
  <c r="J59" i="22"/>
  <c r="K59" i="22"/>
  <c r="L59" i="22"/>
  <c r="M59" i="22"/>
  <c r="G61" i="22"/>
  <c r="H61" i="22"/>
  <c r="I61" i="22"/>
  <c r="J61" i="22"/>
  <c r="K61" i="22"/>
  <c r="L61" i="22"/>
  <c r="M61" i="22"/>
  <c r="G62" i="22"/>
  <c r="H62" i="22"/>
  <c r="I62" i="22"/>
  <c r="J62" i="22"/>
  <c r="K62" i="22"/>
  <c r="L62" i="22"/>
  <c r="M62" i="22"/>
  <c r="G63" i="22"/>
  <c r="H63" i="22"/>
  <c r="I63" i="22"/>
  <c r="J63" i="22"/>
  <c r="K63" i="22"/>
  <c r="L63" i="22"/>
  <c r="M63" i="22"/>
  <c r="G64" i="22"/>
  <c r="H64" i="22"/>
  <c r="I64" i="22"/>
  <c r="J64" i="22"/>
  <c r="K64" i="22"/>
  <c r="L64" i="22"/>
  <c r="M64"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Kubal, Joseph J.</author>
    <author>Joseph Kubal</author>
    <author>Knehr, Kevin W</author>
  </authors>
  <commentList>
    <comment ref="E28" authorId="0" shapeId="0" xr:uid="{00000000-0006-0000-0300-000003000000}">
      <text>
        <r>
          <rPr>
            <sz val="9"/>
            <color rgb="FF000000"/>
            <rFont val="Tahoma"/>
            <family val="2"/>
          </rPr>
          <t xml:space="preserve">Will only work for graphite negative electrode
</t>
        </r>
        <r>
          <rPr>
            <sz val="9"/>
            <color rgb="FF000000"/>
            <rFont val="Tahoma"/>
            <family val="2"/>
          </rPr>
          <t xml:space="preserve">
</t>
        </r>
        <r>
          <rPr>
            <sz val="9"/>
            <color rgb="FF000000"/>
            <rFont val="Tahoma"/>
            <family val="2"/>
          </rPr>
          <t xml:space="preserve">Electrode thickness for fast charging may incorrect
</t>
        </r>
      </text>
    </comment>
    <comment ref="E29" authorId="0" shapeId="0" xr:uid="{2B21C70F-01A2-44E5-90FF-8BD262459A23}">
      <text>
        <r>
          <rPr>
            <sz val="9"/>
            <color rgb="FF000000"/>
            <rFont val="Tahoma"/>
            <family val="2"/>
          </rPr>
          <t>Will only work for graphite negative electrode</t>
        </r>
      </text>
    </comment>
    <comment ref="E35" authorId="1" shapeId="0" xr:uid="{D99B114C-94F4-47FC-91EB-DDB2CD8DF9BD}">
      <text>
        <r>
          <rPr>
            <sz val="9"/>
            <color indexed="81"/>
            <rFont val="Tahoma"/>
            <family val="2"/>
          </rPr>
          <t xml:space="preserve">
Cost: Will choose cheaper but heavier metal materials for pack containment
Mass: Will choose more expensive carbon fiber composites for pack containment</t>
        </r>
      </text>
    </comment>
    <comment ref="C54" authorId="2" shapeId="0" xr:uid="{F8E2767A-54E1-4D0F-8E91-0BA21302DBAD}">
      <text>
        <r>
          <rPr>
            <u/>
            <sz val="9"/>
            <color indexed="81"/>
            <rFont val="Tahoma"/>
            <family val="2"/>
          </rPr>
          <t>Note:</t>
        </r>
        <r>
          <rPr>
            <sz val="9"/>
            <color indexed="81"/>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7"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Joseph Kubal</author>
  </authors>
  <commentList>
    <comment ref="E4" authorId="0" shapeId="0" xr:uid="{543B24D1-C3D1-488E-901F-4090F050BA95}">
      <text>
        <r>
          <rPr>
            <b/>
            <sz val="9"/>
            <color indexed="81"/>
            <rFont val="Tahoma"/>
            <family val="2"/>
          </rPr>
          <t>Modifier will not be applied if an override is specified in column F</t>
        </r>
      </text>
    </comment>
    <comment ref="D8" authorId="0" shapeId="0" xr:uid="{00000000-0006-0000-0300-000001000000}">
      <text>
        <r>
          <rPr>
            <u/>
            <sz val="9"/>
            <color rgb="FF000000"/>
            <rFont val="Tahoma"/>
            <family val="2"/>
          </rPr>
          <t>Note:</t>
        </r>
        <r>
          <rPr>
            <sz val="9"/>
            <color rgb="FF000000"/>
            <rFont val="Tahoma"/>
            <family val="2"/>
          </rPr>
          <t xml:space="preserve"> Tab "Tool-Generate Chem Couple" provides a tool to maintain 100% consistency between N/P, specific capacities (mAh/g), expected formation losses, and open circuit voltage</t>
        </r>
      </text>
    </comment>
    <comment ref="D24" authorId="0" shapeId="0" xr:uid="{00000000-0006-0000-0300-000002000000}">
      <text>
        <r>
          <rPr>
            <sz val="9"/>
            <color rgb="FF000000"/>
            <rFont val="Tahoma"/>
            <family val="2"/>
          </rPr>
          <t>Refer to default chem couples (coulmns K and higher in this tab) to see how this value impacts the calculations</t>
        </r>
      </text>
    </comment>
    <comment ref="D26" authorId="0" shapeId="0" xr:uid="{FFBB4944-2D7F-4EE0-AEE3-30DAB42ACAAD}">
      <text>
        <r>
          <rPr>
            <sz val="9"/>
            <color indexed="81"/>
            <rFont val="Tahoma"/>
            <family val="2"/>
          </rPr>
          <t>Calculated from positive interfacial ASI input</t>
        </r>
      </text>
    </comment>
    <comment ref="F36" authorId="0" shapeId="0" xr:uid="{35B5E1ED-D4BA-4508-9F76-F5D2DAAF0EB0}">
      <text>
        <r>
          <rPr>
            <sz val="9"/>
            <color indexed="81"/>
            <rFont val="Tahoma"/>
            <family val="2"/>
          </rPr>
          <t>See "Dashboard" to add up to 15 wt% silicon</t>
        </r>
      </text>
    </comment>
    <comment ref="D37" authorId="1"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54" authorId="0" shapeId="0" xr:uid="{00000000-0006-0000-0300-000006000000}">
      <text>
        <r>
          <rPr>
            <sz val="9"/>
            <color indexed="81"/>
            <rFont val="Tahoma"/>
            <family val="2"/>
          </rPr>
          <t>Refer to default chem couples (coulmns K and higher in this tab) to see how this value impacts the calculations</t>
        </r>
      </text>
    </comment>
    <comment ref="D56" authorId="0" shapeId="0" xr:uid="{D43CEBA7-BEB4-4AC9-BEF1-C9B7F506C0E2}">
      <text>
        <r>
          <rPr>
            <sz val="9"/>
            <color indexed="81"/>
            <rFont val="Tahoma"/>
            <family val="2"/>
          </rPr>
          <t>Calculated from negative interfacial ASI input</t>
        </r>
      </text>
    </comment>
    <comment ref="B95"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6" authorId="0" shapeId="0" xr:uid="{00000000-0006-0000-0300-000008000000}">
      <text>
        <r>
          <rPr>
            <sz val="9"/>
            <color indexed="81"/>
            <rFont val="Tahoma"/>
            <family val="2"/>
          </rPr>
          <t>Refer to default chem couples (coulmns K and higher in this tab) to see how this value impacts the calculations</t>
        </r>
      </text>
    </comment>
    <comment ref="D137" authorId="0" shapeId="0" xr:uid="{00000000-0006-0000-0300-000009000000}">
      <text>
        <r>
          <rPr>
            <sz val="9"/>
            <color rgb="FF000000"/>
            <rFont val="Tahoma"/>
            <family val="2"/>
          </rPr>
          <t>Refer to default chem couples (coulmns K and higher in this tab) to see how this value impacts the calculations</t>
        </r>
      </text>
    </comment>
    <comment ref="D138" authorId="0" shapeId="0" xr:uid="{00000000-0006-0000-0300-00000A000000}">
      <text>
        <r>
          <rPr>
            <sz val="9"/>
            <color indexed="81"/>
            <rFont val="Tahoma"/>
            <family val="2"/>
          </rPr>
          <t>Refer to default chem couples (coulmns K and higher in this tab) to see how this value impacts the calculations</t>
        </r>
      </text>
    </comment>
    <comment ref="B144" authorId="0" shapeId="0" xr:uid="{B31B8BC7-7693-4C9B-AF87-4D31F2416CFF}">
      <text>
        <r>
          <rPr>
            <sz val="9"/>
            <color indexed="81"/>
            <rFont val="Tahoma"/>
            <family val="2"/>
          </rPr>
          <t>Kubal et al., J. Power Sources, 543 (2022) 231864.</t>
        </r>
      </text>
    </comment>
    <comment ref="D144" authorId="0" shapeId="0" xr:uid="{517B03A5-517F-4F60-8B62-611CCB1DD9AC}">
      <text>
        <r>
          <rPr>
            <sz val="9"/>
            <color indexed="81"/>
            <rFont val="Tahoma"/>
            <family val="2"/>
          </rPr>
          <t>J. J. Kubal et al., J. Power Sources, 543 (2022) 231864.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B219" authorId="0" shapeId="0" xr:uid="{18F89137-2460-4E71-B303-FD7250B3914B}">
      <text>
        <r>
          <rPr>
            <sz val="9"/>
            <color indexed="81"/>
            <rFont val="Tahoma"/>
            <family val="2"/>
          </rPr>
          <t>K. G. Gallagher et al., J. Power Sources, 196 (2011) 2289-2297.</t>
        </r>
      </text>
    </comment>
    <comment ref="B249" authorId="0" shapeId="0" xr:uid="{9E2A59F1-227C-484D-8FAB-C5FDFC0B0F5E}">
      <text>
        <r>
          <rPr>
            <sz val="9"/>
            <color indexed="81"/>
            <rFont val="Tahoma"/>
            <family val="2"/>
          </rPr>
          <t>J. Song et al., Energy &amp; Environmental Science, 14 (2021) 6564.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6" authorId="0" shapeId="0" xr:uid="{00000000-0006-0000-0500-000001000000}">
      <text>
        <r>
          <rPr>
            <b/>
            <sz val="9"/>
            <color indexed="81"/>
            <rFont val="Tahoma"/>
            <family val="2"/>
          </rPr>
          <t>Not used for the Contactor Control, BMU enclosure, and contactors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90" authorId="0" shapeId="0" xr:uid="{00000000-0006-0000-0600-000001000000}">
      <text>
        <r>
          <rPr>
            <b/>
            <sz val="9"/>
            <color indexed="81"/>
            <rFont val="Tahoma"/>
            <family val="2"/>
          </rPr>
          <t>Edit using the pull-down menu on Dashboard</t>
        </r>
      </text>
    </comment>
    <comment ref="B488" authorId="0" shapeId="0" xr:uid="{00000000-0006-0000-0600-000002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9" authorId="0" shapeId="0" xr:uid="{755D67C5-829C-44F0-A777-A8D84855CA17}">
      <text>
        <r>
          <rPr>
            <b/>
            <sz val="9"/>
            <color indexed="81"/>
            <rFont val="Tahoma"/>
            <family val="2"/>
          </rPr>
          <t>Edit using the pull-down menu on Dashboard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Knehr, Kevin W</author>
    <author>Ahmed, Shabbir</author>
  </authors>
  <commentList>
    <comment ref="B45" authorId="0" shapeId="0" xr:uid="{A479D878-BE5A-40E0-9866-98486ACAE071}">
      <text>
        <r>
          <rPr>
            <sz val="9"/>
            <color indexed="81"/>
            <rFont val="Tahoma"/>
            <family val="2"/>
          </rPr>
          <t>K. Knehr and S. Ahmed, J. Electrochem. Soc., 170 (2023) 020515.</t>
        </r>
      </text>
    </comment>
    <comment ref="N112" authorId="1" shapeId="0" xr:uid="{00000000-0006-0000-0A00-000001000000}">
      <text>
        <r>
          <rPr>
            <b/>
            <sz val="9"/>
            <color indexed="81"/>
            <rFont val="Tahoma"/>
            <family val="2"/>
          </rPr>
          <t>The values for the Dow coolant may be used as an alternative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<sst xmlns="http://schemas.openxmlformats.org/spreadsheetml/2006/main" count="7466" uniqueCount="2439">
  <si>
    <t>Joseph J. Kubal, Kevin W. Knehr, Paul A. Nelson, David C. Robertson, Kevin G. Gallagher, Dennis W. Dees, Shabbir Ahmed</t>
  </si>
  <si>
    <t>Chemical Sciences and Engineering Division</t>
  </si>
  <si>
    <t>Argonne National laboratory</t>
  </si>
  <si>
    <t>9700 S. Cass Avenue, Argonne IL 60439</t>
  </si>
  <si>
    <t>https://www.anl.gov/cse/batpac-model-software</t>
  </si>
  <si>
    <t>Cite this Work</t>
  </si>
  <si>
    <t xml:space="preserve">Kevin W. Knehr, Joseph J. Kubal, Paul A. Nelson, and Shabbir Ahmed, “Battery Performance and Cost Modeling for Electric-Drive Vehicles: </t>
  </si>
  <si>
    <t>A Manual for BatPaC v5.0”, ANL/CSE-22/1, July 2022, doi: 10.2172/1877590</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</si>
  <si>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</si>
  <si>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</si>
  <si>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</si>
  <si>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</si>
  <si>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</si>
  <si>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</si>
  <si>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</si>
  <si>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</si>
  <si>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</si>
  <si>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</si>
  <si>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</si>
  <si>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</si>
  <si>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</si>
  <si>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</si>
  <si>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</si>
  <si>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</si>
  <si>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</si>
  <si>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</si>
  <si>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</si>
  <si>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</si>
  <si>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</si>
  <si>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</si>
  <si>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</si>
  <si>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Default 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</si>
  <si>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</si>
  <si>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</si>
  <si>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</si>
  <si>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</si>
  <si>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</si>
  <si>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</si>
  <si>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</si>
  <si>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</si>
  <si>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</si>
  <si>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</si>
  <si>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</si>
  <si>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Add silicon to graphite electrode?</t>
  </si>
  <si>
    <t>No</t>
  </si>
  <si>
    <t xml:space="preserve">     Percent silicon to add, % by weight</t>
  </si>
  <si>
    <t xml:space="preserve">General </t>
  </si>
  <si>
    <t>Vehicle Type</t>
  </si>
  <si>
    <t>EV</t>
  </si>
  <si>
    <t>OEM Upper Cuttoff SOC</t>
  </si>
  <si>
    <t>Mass or Cost Sensitive Pack Design (default = Cost)</t>
  </si>
  <si>
    <t>Cost</t>
  </si>
  <si>
    <t>OEM Lower Cutoff SOC</t>
  </si>
  <si>
    <t>Design electrodes to meet charging requirements?
        If Yes, see Dashboard Row 59</t>
  </si>
  <si>
    <t>Power and Storage Requirements</t>
  </si>
  <si>
    <t>Power</t>
  </si>
  <si>
    <t>Battery 1</t>
  </si>
  <si>
    <t>Battery 2</t>
  </si>
  <si>
    <t>Battery 3</t>
  </si>
  <si>
    <t>Battery 4</t>
  </si>
  <si>
    <t>Battery 5</t>
  </si>
  <si>
    <t>Battery 6</t>
  </si>
  <si>
    <t>Battery 7</t>
  </si>
  <si>
    <t>Target rated peak power of pack, kW</t>
  </si>
  <si>
    <t>Use default power requirements for vehicle</t>
  </si>
  <si>
    <t>Yes</t>
  </si>
  <si>
    <t>Duration at rated power, s</t>
  </si>
  <si>
    <t>Override duration at rated peak power, s</t>
  </si>
  <si>
    <t>Operating initial SOC for rated peak power, %</t>
  </si>
  <si>
    <t>Override for operating initial SOC for rated peak power, %</t>
  </si>
  <si>
    <t>Average temperature during discharge 
 (default = 30°C), °C</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</si>
  <si>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</si>
  <si>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</si>
  <si>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</si>
  <si>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</si>
  <si>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</si>
  <si>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</si>
  <si>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</si>
  <si>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Cell thickness, mm</t>
  </si>
  <si>
    <t xml:space="preserve">     Cell thickness override, mm</t>
  </si>
  <si>
    <t>Length to width ratio of the positive electrode</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</si>
  <si>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</si>
  <si>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</si>
  <si>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</si>
  <si>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</si>
  <si>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</si>
  <si>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</si>
  <si>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</si>
  <si>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</si>
  <si>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</si>
  <si>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</si>
  <si>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</si>
  <si>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</si>
  <si>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</si>
  <si>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</si>
  <si>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</si>
  <si>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</si>
  <si>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Method for manufacturing pack</t>
  </si>
  <si>
    <t>Method 1: Packs are produced at the SAME rate (GWh/year) as cells (default)</t>
  </si>
  <si>
    <t>Number of packs manufactured per year</t>
  </si>
  <si>
    <t>Plant size for cells, GWh/year</t>
  </si>
  <si>
    <t>Cell yield, % of built cells that pass inspection</t>
  </si>
  <si>
    <t>Method to calculate plant utilization</t>
  </si>
  <si>
    <t>Method 1: Ignore utilization</t>
  </si>
  <si>
    <t>Packs manufactured at 100% utilization (pack/year)</t>
  </si>
  <si>
    <t>Percent plant utilization (%)</t>
  </si>
  <si>
    <t>Option for pack cost</t>
  </si>
  <si>
    <t>Cost to consumer - includes pack profit/warranty (Default)</t>
  </si>
  <si>
    <t>Results</t>
  </si>
  <si>
    <t>Calculation and Validation</t>
  </si>
  <si>
    <t>Configuration Errors (see table to right)</t>
  </si>
  <si>
    <t>Configuration Warnings (see table  to right)</t>
  </si>
  <si>
    <t>Pack Plant Size, GWh/year</t>
  </si>
  <si>
    <t>Cell Plant Size, GWh/year</t>
  </si>
  <si>
    <t>Power-to-energy ratio</t>
  </si>
  <si>
    <t>Adequacy of cooling</t>
  </si>
  <si>
    <t>Cathode thickness limited by</t>
  </si>
  <si>
    <t>Summary of Results and Graphing</t>
  </si>
  <si>
    <t>Unit</t>
  </si>
  <si>
    <t>Absolute</t>
  </si>
  <si>
    <t xml:space="preserve">X = </t>
  </si>
  <si>
    <t>Cell capacity, Ah</t>
  </si>
  <si>
    <t xml:space="preserve">Y1 = </t>
  </si>
  <si>
    <t>Pack cost, $/kWh</t>
  </si>
  <si>
    <t xml:space="preserve">Y2 = </t>
  </si>
  <si>
    <t>Applied cell thickness target, mm</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</si>
  <si>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</si>
  <si>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</si>
  <si>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</si>
  <si>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</si>
  <si>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</si>
  <si>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</si>
  <si>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</si>
  <si>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</si>
  <si>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</si>
  <si>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</si>
  <si>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</si>
  <si>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</si>
  <si>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</si>
  <si>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</si>
  <si>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</si>
  <si>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</si>
  <si>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</si>
  <si>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average OCV, V</t>
  </si>
  <si>
    <t>Battery system nominal operating voltage, V</t>
  </si>
  <si>
    <t>Battery system capacity, Ah</t>
  </si>
  <si>
    <t>Battery system total energy, kWh</t>
  </si>
  <si>
    <r>
      <t>Battery system useable energy, kWh</t>
    </r>
    <r>
      <rPr>
        <vertAlign val="subscript"/>
        <sz val="10"/>
        <rFont val="Arial"/>
        <family val="2"/>
      </rPr>
      <t>(Useable)</t>
    </r>
  </si>
  <si>
    <t>Battery system power at target % OCV, kW</t>
  </si>
  <si>
    <t>Battery system rated power,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</si>
  <si>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</si>
  <si>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</si>
  <si>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</si>
  <si>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</si>
  <si>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</si>
  <si>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</si>
  <si>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</si>
  <si>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</si>
  <si>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</si>
  <si>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</si>
  <si>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</si>
  <si>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</si>
  <si>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</si>
  <si>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</si>
  <si>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cells per pack</t>
  </si>
  <si>
    <t>Number of modules per pack</t>
  </si>
  <si>
    <t>Pack average OCV, V</t>
  </si>
  <si>
    <t>Pack nominal operating voltage, V</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</si>
  <si>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</si>
  <si>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</si>
  <si>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</si>
  <si>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</si>
  <si>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</si>
  <si>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</si>
  <si>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</si>
  <si>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</si>
  <si>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</si>
  <si>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</si>
  <si>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</si>
  <si>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</si>
  <si>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</si>
  <si>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</si>
  <si>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energy density, Wh/L</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</si>
  <si>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</si>
  <si>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</si>
  <si>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</si>
  <si>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r>
      <t>Pack density, g/cm</t>
    </r>
    <r>
      <rPr>
        <sz val="10"/>
        <rFont val="Calibri"/>
        <family val="2"/>
      </rPr>
      <t>³</t>
    </r>
  </si>
  <si>
    <t>Module Parameters</t>
  </si>
  <si>
    <t>Module Configuration and Performance</t>
  </si>
  <si>
    <t>Number of cells per module</t>
  </si>
  <si>
    <t>Module average OCV, V</t>
  </si>
  <si>
    <t>Module nominal operating voltage, V</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</si>
  <si>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</si>
  <si>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</si>
  <si>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</si>
  <si>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</si>
  <si>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</si>
  <si>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</si>
  <si>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</si>
  <si>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</si>
  <si>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</si>
  <si>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</si>
  <si>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</si>
  <si>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</si>
  <si>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</si>
  <si>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</si>
  <si>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</si>
  <si>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</si>
  <si>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</si>
  <si>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</si>
  <si>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r>
      <t>Module density, g/cm</t>
    </r>
    <r>
      <rPr>
        <sz val="10"/>
        <rFont val="Calibri"/>
        <family val="2"/>
      </rPr>
      <t>³</t>
    </r>
  </si>
  <si>
    <t>Cell Parameters</t>
  </si>
  <si>
    <t>Cell Performance</t>
  </si>
  <si>
    <t>Cell average OCV, V</t>
  </si>
  <si>
    <t>Cell nominal operating voltage, V</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</si>
  <si>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</si>
  <si>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</si>
  <si>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</si>
  <si>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</si>
  <si>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</si>
  <si>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</si>
  <si>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</si>
  <si>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</si>
  <si>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</si>
  <si>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</si>
  <si>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</si>
  <si>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</si>
  <si>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</si>
  <si>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</si>
  <si>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</si>
  <si>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</si>
  <si>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r>
      <t>Cell density, g/cm</t>
    </r>
    <r>
      <rPr>
        <sz val="10"/>
        <rFont val="Calibri"/>
        <family val="2"/>
      </rPr>
      <t>³</t>
    </r>
  </si>
  <si>
    <t>Additional Cell Information</t>
  </si>
  <si>
    <t>Positive electrode thickness, µm</t>
  </si>
  <si>
    <t>Negative electrode thickness, µm</t>
  </si>
  <si>
    <r>
      <t>Positive electode areal capacity, mAh/cm</t>
    </r>
    <r>
      <rPr>
        <sz val="10"/>
        <rFont val="Calibri"/>
        <family val="2"/>
      </rPr>
      <t>²</t>
    </r>
  </si>
  <si>
    <r>
      <t>Negative electrode areal capacity, mAh/cm</t>
    </r>
    <r>
      <rPr>
        <sz val="10"/>
        <rFont val="Calibri"/>
        <family val="2"/>
      </rPr>
      <t>²</t>
    </r>
  </si>
  <si>
    <t>Additional Considerations</t>
  </si>
  <si>
    <t>Module fraction of pack mass</t>
  </si>
  <si>
    <t>Cell fraction of module mass</t>
  </si>
  <si>
    <t>Cell fraction of pack mass</t>
  </si>
  <si>
    <t>Manufacturing Information</t>
  </si>
  <si>
    <t>Plant Size, GWh</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</si>
  <si>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</si>
  <si>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</si>
  <si>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</si>
  <si>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</si>
  <si>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</si>
  <si>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</si>
  <si>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</si>
  <si>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</si>
  <si>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</si>
  <si>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</si>
  <si>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</si>
  <si>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</si>
  <si>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</si>
  <si>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</si>
  <si>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</si>
  <si>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</si>
  <si>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</si>
  <si>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</si>
  <si>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</si>
  <si>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</si>
  <si>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</si>
  <si>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</si>
  <si>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</si>
  <si>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</si>
  <si>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</si>
  <si>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</si>
  <si>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</si>
  <si>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t>Cell cost, $/kWh</t>
  </si>
  <si>
    <r>
      <t>Cell cost, $/kWh</t>
    </r>
    <r>
      <rPr>
        <vertAlign val="subscript"/>
        <sz val="10"/>
        <rFont val="Arial"/>
        <family val="2"/>
      </rPr>
      <t>(Useable)</t>
    </r>
  </si>
  <si>
    <t>Module fraction of pack cost</t>
  </si>
  <si>
    <t>Cell fraction of module cost</t>
  </si>
  <si>
    <t>Cell fraction of pack cost</t>
  </si>
  <si>
    <t>Dynamic Table for User-Controlled Results Selection</t>
  </si>
  <si>
    <t>Summary of Input/Output</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</si>
  <si>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</si>
  <si>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</si>
  <si>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</si>
  <si>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</si>
  <si>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</si>
  <si>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</si>
  <si>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</si>
  <si>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</si>
  <si>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</si>
  <si>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</si>
  <si>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</si>
  <si>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</si>
  <si>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</si>
  <si>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</si>
  <si>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</si>
  <si>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</si>
  <si>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</si>
  <si>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</si>
  <si>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</si>
  <si>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</si>
  <si>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</si>
  <si>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</si>
  <si>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</si>
  <si>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</si>
  <si>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</si>
  <si>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</si>
  <si>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</si>
  <si>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</si>
  <si>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</si>
  <si>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</si>
  <si>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</si>
  <si>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</si>
  <si>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</si>
  <si>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</si>
  <si>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</si>
  <si>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</si>
  <si>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</si>
  <si>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</si>
  <si>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</si>
  <si>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Positive Electrode</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</si>
  <si>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</si>
  <si>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</si>
  <si>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</si>
  <si>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</si>
  <si>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</si>
  <si>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</si>
  <si>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</si>
  <si>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</si>
  <si>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Electrode</t>
  </si>
  <si>
    <t>Negative active material per cell, g/cell</t>
  </si>
  <si>
    <t>Conductive additive for negative electrode, g/cell</t>
  </si>
  <si>
    <t>Negative electrode binder, g/cell</t>
  </si>
  <si>
    <t>Negative electrode void fraction, %</t>
  </si>
  <si>
    <t>Total negative electrode coating, g/cell</t>
  </si>
  <si>
    <t>Additives</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</si>
  <si>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</si>
  <si>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</si>
  <si>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</si>
  <si>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</si>
  <si>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</si>
  <si>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</si>
  <si>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Positive foil per cell, g/cell</t>
  </si>
  <si>
    <t>Negative foil per cell, g/cell</t>
  </si>
  <si>
    <t>Separator per cell, g/cell</t>
  </si>
  <si>
    <t>Electrolyte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</si>
  <si>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</si>
  <si>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</si>
  <si>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</si>
  <si>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</si>
  <si>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</si>
  <si>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</si>
  <si>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</si>
  <si>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</si>
  <si>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</si>
  <si>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</si>
  <si>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X</t>
  </si>
  <si>
    <t>Length-to-width ratio for positive electrode</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</si>
  <si>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</si>
  <si>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</si>
  <si>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</si>
  <si>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</si>
  <si>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</si>
  <si>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</si>
  <si>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Feedthrough length (default = 5), mm</t>
  </si>
  <si>
    <t>Internal tab length, mm</t>
  </si>
  <si>
    <t>Buffer between edge of current collector and edge of internal tab (default = 2), mm</t>
  </si>
  <si>
    <t>Internal tab width, mm</t>
  </si>
  <si>
    <t>Feedthrough width, mm</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</si>
  <si>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</si>
  <si>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</si>
  <si>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</si>
  <si>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</si>
  <si>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</si>
  <si>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</si>
  <si>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</si>
  <si>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</si>
  <si>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Negative-to-positive capacity ratio after formation</t>
  </si>
  <si>
    <t>Excess negative area, %</t>
  </si>
  <si>
    <t>Electrode Thickness Calculations</t>
  </si>
  <si>
    <t>Section 1: Determination of key limits and reference values</t>
  </si>
  <si>
    <t>Limits and Factors</t>
  </si>
  <si>
    <t>ASI temperature dependent prefactor (only for discharging)</t>
  </si>
  <si>
    <t>minimum % OCV at full power, %</t>
  </si>
  <si>
    <t>% OCV at full power adjusted for thickness limit, %</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</si>
  <si>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</si>
  <si>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</si>
  <si>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</si>
  <si>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</si>
  <si>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</si>
  <si>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</si>
  <si>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</si>
  <si>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</si>
  <si>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</si>
  <si>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</si>
  <si>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</si>
  <si>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</si>
  <si>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</si>
  <si>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</si>
  <si>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</si>
  <si>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</si>
  <si>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</si>
  <si>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</si>
  <si>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</si>
  <si>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</si>
  <si>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</si>
  <si>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</si>
  <si>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</si>
  <si>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</si>
  <si>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</si>
  <si>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Estimated, reference, electrochemical, ASI with overrides considered,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</si>
  <si>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</si>
  <si>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</si>
  <si>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</si>
  <si>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</si>
  <si>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</si>
  <si>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</si>
  <si>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</si>
  <si>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</si>
  <si>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</si>
  <si>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</si>
  <si>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</si>
  <si>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</si>
  <si>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</si>
  <si>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</si>
  <si>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</si>
  <si>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</si>
  <si>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</si>
  <si>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</si>
  <si>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</si>
  <si>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</si>
  <si>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</si>
  <si>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</si>
  <si>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</si>
  <si>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</si>
  <si>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</si>
  <si>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</si>
  <si>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</si>
  <si>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</si>
  <si>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</si>
  <si>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</si>
  <si>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</si>
  <si>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</si>
  <si>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r>
      <t>Pack terminal ASI, ohm-cm</t>
    </r>
    <r>
      <rPr>
        <sz val="10"/>
        <rFont val="Calibri"/>
        <family val="2"/>
      </rPr>
      <t>²</t>
    </r>
  </si>
  <si>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</si>
  <si>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</si>
  <si>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</si>
  <si>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</si>
  <si>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</si>
  <si>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</si>
  <si>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</si>
  <si>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</si>
  <si>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</si>
  <si>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</si>
  <si>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</si>
  <si>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</si>
  <si>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</si>
  <si>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</si>
  <si>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</si>
  <si>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</si>
  <si>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</si>
  <si>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</si>
  <si>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</si>
  <si>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</si>
  <si>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</si>
  <si>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Charger</t>
  </si>
  <si>
    <t>Maximum charger power, kW</t>
  </si>
  <si>
    <t>Charger voltage (default = 480), V</t>
  </si>
  <si>
    <t>Maximum charger current (soft limit), A</t>
  </si>
  <si>
    <t>Maximum current to achieve desired charging time, A</t>
  </si>
  <si>
    <t>Electrode Thickness from Desired Charge Time</t>
  </si>
  <si>
    <t>Maximum charging current density, mA/cm²</t>
  </si>
  <si>
    <t>Target battery pack power, kW</t>
  </si>
  <si>
    <t>Max allowable temperature (default = 55), °C</t>
  </si>
  <si>
    <t>Desired charging time for 80% of capacity, minutes</t>
  </si>
  <si>
    <t>Fitted parameters for estimating positive electrode thickness</t>
  </si>
  <si>
    <t>α1</t>
  </si>
  <si>
    <t>α2</t>
  </si>
  <si>
    <t>α3</t>
  </si>
  <si>
    <t>α4</t>
  </si>
  <si>
    <t>β1</t>
  </si>
  <si>
    <t>β2</t>
  </si>
  <si>
    <t>β3</t>
  </si>
  <si>
    <t>β4</t>
  </si>
  <si>
    <t>Positive electrode thickness from fast charge, µm</t>
  </si>
  <si>
    <t>Negative electrode thickness from fast charge, µm</t>
  </si>
  <si>
    <t>Max current density, mA/cm²</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</si>
  <si>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</si>
  <si>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</si>
  <si>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</si>
  <si>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</si>
  <si>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</si>
  <si>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</si>
  <si>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</si>
  <si>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</si>
  <si>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</si>
  <si>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</si>
  <si>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</si>
  <si>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</si>
  <si>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</si>
  <si>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</si>
  <si>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Thickness Override</t>
  </si>
  <si>
    <t>Positive area determined by power at target % OCV, cm²</t>
  </si>
  <si>
    <t>Power Limitations</t>
  </si>
  <si>
    <t>Positive area determined by energy (C/3), cm²</t>
  </si>
  <si>
    <t>Energy Limitations</t>
  </si>
  <si>
    <t>Positive area determined by charging limits, cm²</t>
  </si>
  <si>
    <t>Charging</t>
  </si>
  <si>
    <t>Positive area determined by max allowable thickness, cm²</t>
  </si>
  <si>
    <t>Max Thickness</t>
  </si>
  <si>
    <t>Selected positive electrode area including possible charging limits, cm²</t>
  </si>
  <si>
    <t>Negative electrode area, cm²</t>
  </si>
  <si>
    <t>Area Limited by</t>
  </si>
  <si>
    <t>Cell, module, and pack construction</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</si>
  <si>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</si>
  <si>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</si>
  <si>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</si>
  <si>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</si>
  <si>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</si>
  <si>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</si>
  <si>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</si>
  <si>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</si>
  <si>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</si>
  <si>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</si>
  <si>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</si>
  <si>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</si>
  <si>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</si>
  <si>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</si>
  <si>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</si>
  <si>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</si>
  <si>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</si>
  <si>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</si>
  <si>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</si>
  <si>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</si>
  <si>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</si>
  <si>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</si>
  <si>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Width, mm</t>
  </si>
  <si>
    <t>Thickness (default = 2), mm</t>
  </si>
  <si>
    <r>
      <t>Mass of both panels (2.1 g/cm</t>
    </r>
    <r>
      <rPr>
        <vertAlign val="superscript"/>
        <sz val="10"/>
        <rFont val="Arial"/>
        <family val="2"/>
      </rPr>
      <t>3</t>
    </r>
    <r>
      <rPr>
        <sz val="10"/>
        <rFont val="Arial"/>
        <family val="2"/>
      </rPr>
      <t>), g</t>
    </r>
  </si>
  <si>
    <t>Tabs to Module Terminals (Cu)</t>
  </si>
  <si>
    <t>Length (width of cell feedthrough plus 20 mm), mm</t>
  </si>
  <si>
    <t>Mass of both tabs, g</t>
  </si>
  <si>
    <t>Module Terminals (Cu)</t>
  </si>
  <si>
    <t>Length (default = 35), mm</t>
  </si>
  <si>
    <t>Mass of both terminals (includes 20% additional weight for insulation and fastener), g</t>
  </si>
  <si>
    <t>Module Conductors / Thermal Enclosure (Al)</t>
  </si>
  <si>
    <t>Length of conductor or thermal enclosure around cells, mm</t>
  </si>
  <si>
    <t>Thickness of conductor or thermal enclosure, mm</t>
  </si>
  <si>
    <r>
      <t xml:space="preserve">Total mass </t>
    </r>
    <r>
      <rPr>
        <sz val="10"/>
        <color rgb="FFFF0000"/>
        <rFont val="Arial"/>
        <family val="2"/>
      </rPr>
      <t>per module</t>
    </r>
    <r>
      <rPr>
        <sz val="10"/>
        <rFont val="Arial"/>
        <family val="2"/>
      </rPr>
      <t xml:space="preserve"> of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</si>
  <si>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</si>
  <si>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</si>
  <si>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</si>
  <si>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Module wall thickness (default = 0.3), mm</t>
  </si>
  <si>
    <t>Module enclosure, g</t>
  </si>
  <si>
    <t>Provisions for gas release (default = 5), g</t>
  </si>
  <si>
    <t>Width of space beyond end of cell terminal at back of module (default = 2), mm</t>
  </si>
  <si>
    <t>Width of space beyond end of cell terminal at front of module (default =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</si>
  <si>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</si>
  <si>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</si>
  <si>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</si>
  <si>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</si>
  <si>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</si>
  <si>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</si>
  <si>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</si>
  <si>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Pack nominal voltage, V</t>
  </si>
  <si>
    <t>Pack power at target % OCV and SOC, kW</t>
  </si>
  <si>
    <t>Pack power at % OCV adjusted for thickness limits, kW</t>
  </si>
  <si>
    <t>Maximum current at full power, A</t>
  </si>
  <si>
    <t>Maximum current density at full power, mA/cm²</t>
  </si>
  <si>
    <t>C-rate at full power, A/Ah</t>
  </si>
  <si>
    <t>Module Row Rack</t>
  </si>
  <si>
    <t>Row rack material</t>
  </si>
  <si>
    <t>Length, mm</t>
  </si>
  <si>
    <t>Height, mm</t>
  </si>
  <si>
    <t>Thickness of rack support channel (default = 1), mm</t>
  </si>
  <si>
    <t>Width of side rails of support channel and upper channel (default = 10), mm</t>
  </si>
  <si>
    <t>Mass of lower channel, kg</t>
  </si>
  <si>
    <t>Thickness of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</si>
  <si>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</si>
  <si>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</si>
  <si>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</si>
  <si>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(default = 2), mm</t>
  </si>
  <si>
    <r>
      <t>Area of each restraint plate including welding tabs, cm</t>
    </r>
    <r>
      <rPr>
        <sz val="10"/>
        <rFont val="Calibri"/>
        <family val="2"/>
      </rPr>
      <t>²</t>
    </r>
  </si>
  <si>
    <r>
      <t>Volume of each 1.5-mm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</si>
  <si>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</si>
  <si>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</si>
  <si>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</si>
  <si>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</si>
  <si>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</si>
  <si>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</si>
  <si>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</si>
  <si>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</si>
  <si>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Material of metal components</t>
  </si>
  <si>
    <t>Width of coolant panels above and below modules, mm</t>
  </si>
  <si>
    <t>Thickness of coolant panel channels (default = 5), mm</t>
  </si>
  <si>
    <t>Thickness of coolant panel walls (default = 0.3), mm</t>
  </si>
  <si>
    <t>Total thickness of coolant panel (stainless steel sheets), mm</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</si>
  <si>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</si>
  <si>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</si>
  <si>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</si>
  <si>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</si>
  <si>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</si>
  <si>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</si>
  <si>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</si>
  <si>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</si>
  <si>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</si>
  <si>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</si>
  <si>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</si>
  <si>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</si>
  <si>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</si>
  <si>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</si>
  <si>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</si>
  <si>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</si>
  <si>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mm</t>
  </si>
  <si>
    <t>Pack jacket insulation thickness (default = 10), mm</t>
  </si>
  <si>
    <t>Pack jacket total base thickness, mm</t>
  </si>
  <si>
    <t>Pack jacket total top thickness, mm</t>
  </si>
  <si>
    <t>Interior jacket dimension accross width of rows, mm</t>
  </si>
  <si>
    <t>Pack Jacket Base</t>
  </si>
  <si>
    <t>Interior plate material</t>
  </si>
  <si>
    <t>Interior plate thickness (default = 1), mm</t>
  </si>
  <si>
    <t>Exterior plate material</t>
  </si>
  <si>
    <t>Exterior plate thickness (default = 1), mm</t>
  </si>
  <si>
    <t>Support frame material</t>
  </si>
  <si>
    <t>Support frame dimensions, mm</t>
  </si>
  <si>
    <t>Support frame unit mass, g/mm</t>
  </si>
  <si>
    <t>Override support frame unit mass, g/mm</t>
  </si>
  <si>
    <t>Mass of support frame, kg</t>
  </si>
  <si>
    <t>Mass of interior part jacket, kg</t>
  </si>
  <si>
    <t>Mass of exterior part of jacket, kg</t>
  </si>
  <si>
    <r>
      <t>Area of insulation, m</t>
    </r>
    <r>
      <rPr>
        <vertAlign val="superscript"/>
        <sz val="10"/>
        <rFont val="Arial"/>
        <family val="2"/>
      </rPr>
      <t>2</t>
    </r>
  </si>
  <si>
    <t>Mass of jacket base, kg</t>
  </si>
  <si>
    <t>Pack Jacket Top</t>
  </si>
  <si>
    <t>Material for interior and exterior top plates</t>
  </si>
  <si>
    <t>Exterior plate thickness, mm</t>
  </si>
  <si>
    <t>Mass of plates, kg</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</si>
  <si>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</si>
  <si>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</si>
  <si>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</si>
  <si>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</si>
  <si>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</si>
  <si>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</si>
  <si>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</si>
  <si>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</si>
  <si>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</si>
  <si>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</si>
  <si>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</si>
  <si>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</si>
  <si>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</si>
  <si>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</si>
  <si>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</si>
  <si>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</si>
  <si>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</si>
  <si>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</si>
  <si>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</si>
  <si>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</si>
  <si>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</si>
  <si>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</si>
  <si>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</si>
  <si>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</si>
  <si>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</si>
  <si>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Iterative Calculations</t>
  </si>
  <si>
    <t>Pack capacity estimating parameter, Ah</t>
  </si>
  <si>
    <t>Pack capacity, Ah (holding)</t>
  </si>
  <si>
    <t>Pack capacity convergence constant</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</si>
  <si>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</si>
  <si>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</si>
  <si>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</si>
  <si>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</si>
  <si>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</si>
  <si>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</si>
  <si>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</si>
  <si>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</si>
  <si>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</si>
  <si>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</si>
  <si>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</si>
  <si>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</si>
  <si>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</si>
  <si>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</si>
  <si>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</si>
  <si>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</si>
  <si>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</si>
  <si>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Number of modules not divisible by number of modules in parallel</t>
  </si>
  <si>
    <t>Error: Pulse goes below lower operating SOC window</t>
  </si>
  <si>
    <t>Error: Electrode thickness smaller than minimum allowable thickness</t>
  </si>
  <si>
    <t>Error: This combination of utilization and manufacturing method is not allowed</t>
  </si>
  <si>
    <t>Error: Pack production exceeds cell production</t>
  </si>
  <si>
    <t>Warnings</t>
  </si>
  <si>
    <t>Warning: Number of modules rows not 1, 2 or 4 (number and size of busbars may become excessive)</t>
  </si>
  <si>
    <t>Warning: Number of modules in parallel should be 1 or 2 (number and mass of interconnects may be underestimated)</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</si>
  <si>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</si>
  <si>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</si>
  <si>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</si>
  <si>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Pack size exceeds 5 ft in multiple dimensions (may exceed dimensions of vehicle)</t>
  </si>
  <si>
    <t>Warning: Pack voltage exceeds 1000 V (BMS cost and size will be underestimated)</t>
  </si>
  <si>
    <t>Warning: Desired charge time requires a charging power which exceeds input charger power</t>
  </si>
  <si>
    <t>Warning: Fast charge algorithm has not been refined for silicon addition</t>
  </si>
  <si>
    <t>Error and Warning Tags</t>
  </si>
  <si>
    <t>List of errors</t>
  </si>
  <si>
    <t>Error Tags</t>
  </si>
  <si>
    <t>List of warnings</t>
  </si>
  <si>
    <t>Warning Tags</t>
  </si>
  <si>
    <t>Selected Chemistry - Choose a Chemistry in Dashboard</t>
  </si>
  <si>
    <t>NMC333-G (Power)</t>
  </si>
  <si>
    <t>ID #</t>
  </si>
  <si>
    <t>NMC333-G (Energy)</t>
  </si>
  <si>
    <t>NMC532-G (Power)</t>
  </si>
  <si>
    <t>NMC532-G (Energy)</t>
  </si>
  <si>
    <t>NMC622-G (Power)</t>
  </si>
  <si>
    <t>NMC622-G (Energy)</t>
  </si>
  <si>
    <t>NMC811-G (Power)</t>
  </si>
  <si>
    <t>NMC95-G (Power)</t>
  </si>
  <si>
    <t>NMC95-G (Energy)</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</si>
  <si>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</si>
  <si>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</si>
  <si>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</si>
  <si>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</si>
  <si>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</si>
  <si>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</si>
  <si>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</si>
  <si>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</si>
  <si>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</si>
  <si>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</si>
  <si>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</si>
  <si>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</si>
  <si>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</si>
  <si>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</si>
  <si>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</si>
  <si>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</si>
  <si>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</si>
  <si>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</si>
  <si>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</si>
  <si>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</si>
  <si>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Modifier</t>
  </si>
  <si>
    <t>Default Value</t>
  </si>
  <si>
    <t>Couple Name</t>
  </si>
  <si>
    <t>Positive electrode</t>
  </si>
  <si>
    <t>Mixing Values</t>
  </si>
  <si>
    <t>Positive Electrode Active Material</t>
  </si>
  <si>
    <t>Active material</t>
  </si>
  <si>
    <t>NMC333</t>
  </si>
  <si>
    <t>NMC532</t>
  </si>
  <si>
    <t>NMC622</t>
  </si>
  <si>
    <t>NMC811</t>
  </si>
  <si>
    <t>NMC95</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</si>
  <si>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</si>
  <si>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</si>
  <si>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</si>
  <si>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</si>
  <si>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</si>
  <si>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</si>
  <si>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</si>
  <si>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</si>
  <si>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</si>
  <si>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</si>
  <si>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</si>
  <si>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</si>
  <si>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</si>
  <si>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</si>
  <si>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</si>
  <si>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</si>
  <si>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</si>
  <si>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</si>
  <si>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</si>
  <si>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</si>
  <si>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</si>
  <si>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</si>
  <si>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</si>
  <si>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</si>
  <si>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</si>
  <si>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</si>
  <si>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</si>
  <si>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</si>
  <si>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</si>
  <si>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r>
      <t>Positive electrode binder solvent density, g/cm</t>
    </r>
    <r>
      <rPr>
        <sz val="10"/>
        <rFont val="Calibri"/>
        <family val="2"/>
      </rPr>
      <t>³</t>
    </r>
  </si>
  <si>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</si>
  <si>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</si>
  <si>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</si>
  <si>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</si>
  <si>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</si>
  <si>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</si>
  <si>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</si>
  <si>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</si>
  <si>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</si>
  <si>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</si>
  <si>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</si>
  <si>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</si>
  <si>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</si>
  <si>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</si>
  <si>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</si>
  <si>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</si>
  <si>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</si>
  <si>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Negative Electrode Active Material</t>
  </si>
  <si>
    <t>LTO</t>
  </si>
  <si>
    <t>Negative electrode active material capacity, mAh/g:</t>
  </si>
  <si>
    <t>Negative Electrode Composition, Weight %</t>
  </si>
  <si>
    <t>Negative Electrode Composition</t>
  </si>
  <si>
    <t>Negative electrode active weight %</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</si>
  <si>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</si>
  <si>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</si>
  <si>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</si>
  <si>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</si>
  <si>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</si>
  <si>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</si>
  <si>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</si>
  <si>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</si>
  <si>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</si>
  <si>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r>
      <t>Negative electrode binder solvent density, g/cm</t>
    </r>
    <r>
      <rPr>
        <sz val="10"/>
        <rFont val="Calibri"/>
        <family val="2"/>
      </rPr>
      <t>³</t>
    </r>
  </si>
  <si>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</si>
  <si>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</si>
  <si>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</si>
  <si>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</si>
  <si>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</si>
  <si>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</si>
  <si>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</si>
  <si>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</si>
  <si>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</si>
  <si>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</si>
  <si>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</si>
  <si>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</si>
  <si>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</si>
  <si>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</si>
  <si>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</si>
  <si>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</si>
  <si>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</si>
  <si>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</si>
  <si>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</si>
  <si>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</si>
  <si>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</si>
  <si>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</si>
  <si>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</si>
  <si>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</si>
  <si>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</si>
  <si>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</si>
  <si>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</si>
  <si>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</si>
  <si>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</si>
  <si>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</si>
  <si>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</si>
  <si>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</si>
  <si>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</si>
  <si>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</si>
  <si>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</si>
  <si>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</si>
  <si>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</si>
  <si>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</si>
  <si>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</si>
  <si>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</si>
  <si>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</si>
  <si>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</si>
  <si>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</si>
  <si>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</si>
  <si>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</si>
  <si>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</si>
  <si>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</si>
  <si>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</si>
  <si>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</si>
  <si>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</si>
  <si>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</si>
  <si>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</si>
  <si>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</si>
  <si>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</si>
  <si>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</si>
  <si>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</si>
  <si>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</si>
  <si>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</si>
  <si>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</si>
  <si>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</si>
  <si>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</si>
  <si>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</si>
  <si>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</si>
  <si>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</si>
  <si>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</si>
  <si>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</si>
  <si>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</si>
  <si>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</si>
  <si>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</si>
  <si>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</si>
  <si>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</si>
  <si>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</si>
  <si>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</si>
  <si>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</si>
  <si>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</si>
  <si>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</si>
  <si>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</si>
  <si>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</si>
  <si>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</si>
  <si>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</si>
  <si>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</si>
  <si>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</si>
  <si>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</si>
  <si>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</si>
  <si>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</si>
  <si>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</si>
  <si>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</si>
  <si>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</si>
  <si>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</si>
  <si>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</si>
  <si>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</si>
  <si>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</si>
  <si>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</si>
  <si>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</si>
  <si>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</si>
  <si>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</si>
  <si>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</si>
  <si>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</si>
  <si>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</si>
  <si>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</si>
  <si>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</si>
  <si>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</si>
  <si>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</si>
  <si>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</si>
  <si>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</si>
  <si>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</si>
  <si>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</si>
  <si>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</si>
  <si>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</si>
  <si>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</si>
  <si>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</si>
  <si>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</si>
  <si>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</si>
  <si>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</si>
  <si>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</si>
  <si>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</si>
  <si>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</si>
  <si>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</si>
  <si>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</si>
  <si>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</si>
  <si>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</si>
  <si>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</si>
  <si>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</si>
  <si>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</si>
  <si>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</si>
  <si>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</si>
  <si>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</si>
  <si>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</si>
  <si>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</si>
  <si>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</si>
  <si>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</si>
  <si>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</si>
  <si>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</si>
  <si>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</si>
  <si>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</si>
  <si>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Battery Management System</t>
  </si>
  <si>
    <t>Input Data from BatPaC</t>
  </si>
  <si>
    <t>Number of modules per battery pack</t>
  </si>
  <si>
    <t>Cells per battery pack</t>
  </si>
  <si>
    <t>Cell group capacity, Ah</t>
  </si>
  <si>
    <t>Current carrying capacity of terminals and interconnects, A</t>
  </si>
  <si>
    <t>Nominal pack voltage, V</t>
  </si>
  <si>
    <t>Cells in series</t>
  </si>
  <si>
    <t>Cells per ASIC</t>
  </si>
  <si>
    <t>Number of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</si>
  <si>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</si>
  <si>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</si>
  <si>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</si>
  <si>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</si>
  <si>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</si>
  <si>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</si>
  <si>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</si>
  <si>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</si>
  <si>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</si>
  <si>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</si>
  <si>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</si>
  <si>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</si>
  <si>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</si>
  <si>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</si>
  <si>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</si>
  <si>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</si>
  <si>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</si>
  <si>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</si>
  <si>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</si>
  <si>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</si>
  <si>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</si>
  <si>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</si>
  <si>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Resistors-1</t>
  </si>
  <si>
    <t>Resistors-2</t>
  </si>
  <si>
    <t>Resistors-3</t>
  </si>
  <si>
    <t>Eletrolytic capacitor</t>
  </si>
  <si>
    <t>Ceramic capacitor-1</t>
  </si>
  <si>
    <t>Ceramic capacitor-2</t>
  </si>
  <si>
    <t>Ceramic capacitor-3</t>
  </si>
  <si>
    <t>Transistors</t>
  </si>
  <si>
    <t>Resistor jumper</t>
  </si>
  <si>
    <t>Contactor control</t>
  </si>
  <si>
    <t>BMU enclosure</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</si>
  <si>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</si>
  <si>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</si>
  <si>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</si>
  <si>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</si>
  <si>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</si>
  <si>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</si>
  <si>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</si>
  <si>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</si>
  <si>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</si>
  <si>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</si>
  <si>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</si>
  <si>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</si>
  <si>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</si>
  <si>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Temperature sensors (for module and pack inlet/outlet)</t>
  </si>
  <si>
    <t>Sense PCB</t>
  </si>
  <si>
    <t>Cost Per Part, $/unit</t>
  </si>
  <si>
    <t>BDU electronics/Power electronics</t>
  </si>
  <si>
    <t>Precharge contactor</t>
  </si>
  <si>
    <t>Interfaces between electronics systems</t>
  </si>
  <si>
    <t>Module electronics</t>
  </si>
  <si>
    <t>Temmperature sensors (for module and pack inlet/outlet)</t>
  </si>
  <si>
    <t>Total Cost</t>
  </si>
  <si>
    <t>BMU</t>
  </si>
  <si>
    <t>BDU electronics/Power Electronics</t>
  </si>
  <si>
    <t>Interfaces between electronic systems</t>
  </si>
  <si>
    <t>Total Cost of BMS, $</t>
  </si>
  <si>
    <t>Total Mass of BMS, kg</t>
  </si>
  <si>
    <t>BMU PCB mass, (default = 0.04 kg)</t>
  </si>
  <si>
    <t>BMU mass added per ASIC, (default = 0.02 kg)</t>
  </si>
  <si>
    <t>Total BMU mass</t>
  </si>
  <si>
    <t>10% for enclosure for BMU</t>
  </si>
  <si>
    <t>Additional 30% for enclosure</t>
  </si>
  <si>
    <t>Total Volume of BMS, L</t>
  </si>
  <si>
    <t>BMU PCB volume (default = 0.16 L)</t>
  </si>
  <si>
    <t>BMU volume added per ASIC (default = 0.08 L)</t>
  </si>
  <si>
    <t>Total BMU volume</t>
  </si>
  <si>
    <t>Reference Costs</t>
  </si>
  <si>
    <t>p-factor for most electronic components</t>
  </si>
  <si>
    <t>Volume basis</t>
  </si>
  <si>
    <t>Fixed</t>
  </si>
  <si>
    <t>Offset</t>
  </si>
  <si>
    <t>Multiplier for</t>
  </si>
  <si>
    <t>Cost, $/unit</t>
  </si>
  <si>
    <t>for cost</t>
  </si>
  <si>
    <t>p-Value</t>
  </si>
  <si>
    <t># per ASIC</t>
  </si>
  <si>
    <t>per ASIC</t>
  </si>
  <si>
    <t>vehicle type</t>
  </si>
  <si>
    <t>5V ref-main</t>
  </si>
  <si>
    <t>Dual isolaters</t>
  </si>
  <si>
    <t>Schottky diode</t>
  </si>
  <si>
    <t>Volume L/unit</t>
  </si>
  <si>
    <t>Mass g/Unit</t>
  </si>
  <si>
    <t>Contactor - Aux</t>
  </si>
  <si>
    <t>Current, A</t>
  </si>
  <si>
    <t>Scenario 1</t>
  </si>
  <si>
    <t>Scenario 2</t>
  </si>
  <si>
    <t>Temperature sensors</t>
  </si>
  <si>
    <t>Ref for Contactor-Main</t>
  </si>
  <si>
    <t>10A Contactor</t>
  </si>
  <si>
    <t>600A Contactor</t>
  </si>
  <si>
    <t>Manufacturing Cost Calculations</t>
  </si>
  <si>
    <t>Annual Processing Rates</t>
  </si>
  <si>
    <t>Pack energy, kWh per year</t>
  </si>
  <si>
    <t>Number of battery packs manufactured per year</t>
  </si>
  <si>
    <t>Number of row racks per year</t>
  </si>
  <si>
    <t>Number of modules per year</t>
  </si>
  <si>
    <t>Number of cell interconnects per year</t>
  </si>
  <si>
    <t>Cell energy, kWh per year</t>
  </si>
  <si>
    <t>Number of accepted cells per year</t>
  </si>
  <si>
    <t>Number of cells adjusted for yield</t>
  </si>
  <si>
    <t>Positive electrode area, m² per year</t>
  </si>
  <si>
    <t>Negative electrode area, m² per year</t>
  </si>
  <si>
    <t>Positive slurry volume, L per year</t>
  </si>
  <si>
    <t>Negative slurry volume, L per year</t>
  </si>
  <si>
    <t>Positive binder solvent evaporated, kg per year</t>
  </si>
  <si>
    <t>Negative binder solvent evaporated, kg per year</t>
  </si>
  <si>
    <r>
      <t>Dry room operating area, m</t>
    </r>
    <r>
      <rPr>
        <vertAlign val="superscript"/>
        <sz val="10"/>
        <rFont val="Arial"/>
        <family val="2"/>
      </rPr>
      <t>2</t>
    </r>
  </si>
  <si>
    <t>Number of cells entering packs per year</t>
  </si>
  <si>
    <t>Cell plant fraction multiplier for warehouse</t>
  </si>
  <si>
    <t>Cell plant fraction multiplier for additoinal building support</t>
  </si>
  <si>
    <t>Fraction of cells entering packs</t>
  </si>
  <si>
    <t>Calculated Battery Parameters (For Reference Below)</t>
  </si>
  <si>
    <t>Number of packs per battery system</t>
  </si>
  <si>
    <t>Direct Materials Costs</t>
  </si>
  <si>
    <t>Total Cell Materials per Accepted Cell</t>
  </si>
  <si>
    <t>Yield, %</t>
  </si>
  <si>
    <t>Mass ratio of positive binder solvent to positive binder</t>
  </si>
  <si>
    <t>Override mass ratio of positive binder solvent to positive binder</t>
  </si>
  <si>
    <t>Mass ratio of negative binder solvent to negative binder</t>
  </si>
  <si>
    <t>Override mass ratio of negative binder solvent to negative binder</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</si>
  <si>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</si>
  <si>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</si>
  <si>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</si>
  <si>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</si>
  <si>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</si>
  <si>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</si>
  <si>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</si>
  <si>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</si>
  <si>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</si>
  <si>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</si>
  <si>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</si>
  <si>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</si>
  <si>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</si>
  <si>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</si>
  <si>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</si>
  <si>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</si>
  <si>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</si>
  <si>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</si>
  <si>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</si>
  <si>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</si>
  <si>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</si>
  <si>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</si>
  <si>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</si>
  <si>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</si>
  <si>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</si>
  <si>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Is evaporated the right term? Aren't we recovering some</t>
  </si>
  <si>
    <t>Unit Cell Materials Costs</t>
  </si>
  <si>
    <t>Baseline</t>
  </si>
  <si>
    <t>p</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</si>
  <si>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</si>
  <si>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</si>
  <si>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</si>
  <si>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</si>
  <si>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</si>
  <si>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</si>
  <si>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</si>
  <si>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</si>
  <si>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</si>
  <si>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</si>
  <si>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</si>
  <si>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</si>
  <si>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</si>
  <si>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</si>
  <si>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</si>
  <si>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</si>
  <si>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</si>
  <si>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</si>
  <si>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</si>
  <si>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</si>
  <si>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</si>
  <si>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</si>
  <si>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</si>
  <si>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</si>
  <si>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</si>
  <si>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</si>
  <si>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</si>
  <si>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</si>
  <si>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</si>
  <si>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</si>
  <si>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</si>
  <si>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</si>
  <si>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</si>
  <si>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</si>
  <si>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</si>
  <si>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 $/module</t>
  </si>
  <si>
    <t>Cell interconnects (copper) $/module</t>
  </si>
  <si>
    <t>Interconnect panel, PP, $/module</t>
  </si>
  <si>
    <t>Module terminals,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</si>
  <si>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</si>
  <si>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</si>
  <si>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</si>
  <si>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</si>
  <si>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</si>
  <si>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</si>
  <si>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$/pack</t>
  </si>
  <si>
    <t>Bus bar for battery packs, $/pack</t>
  </si>
  <si>
    <t>Cooling panels, S.S., $/pack</t>
  </si>
  <si>
    <t>Coolant manifolds, $/pack</t>
  </si>
  <si>
    <t>Pack terminals and seals, $/pack</t>
  </si>
  <si>
    <t>Pack support frame</t>
  </si>
  <si>
    <t>Pack jacket (top &amp; interior base)</t>
  </si>
  <si>
    <t>Pack jacket (exterior base)</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</si>
  <si>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</si>
  <si>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</si>
  <si>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</si>
  <si>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</si>
  <si>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</si>
  <si>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</si>
  <si>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</si>
  <si>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</si>
  <si>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Additions for multiple packs, $/additional pack</t>
  </si>
  <si>
    <t>Total cost for additional system-level items, $/battery system</t>
  </si>
  <si>
    <t>Battery Assembly Costs</t>
  </si>
  <si>
    <t>Detailed Battery Assembly Process</t>
  </si>
  <si>
    <t>If "X", used in the calculation of plant utilization</t>
  </si>
  <si>
    <t>Electrode Processing</t>
  </si>
  <si>
    <t>Materials Preparation/mixing</t>
  </si>
  <si>
    <t>Plant</t>
  </si>
  <si>
    <t>Positive slurry (volume/yr)</t>
  </si>
  <si>
    <t>Slurry ratio (volume/baseline volume)</t>
  </si>
  <si>
    <t>Direct labor, hours/year</t>
  </si>
  <si>
    <t>Capital equipment, million$</t>
  </si>
  <si>
    <r>
      <t>Plant area, m</t>
    </r>
    <r>
      <rPr>
        <sz val="10"/>
        <rFont val="Calibri"/>
        <family val="2"/>
      </rPr>
      <t>²</t>
    </r>
  </si>
  <si>
    <t>Operating Power, kW</t>
  </si>
  <si>
    <t>Negative slurry (volume/yr)</t>
  </si>
  <si>
    <t>Electrode Coating</t>
  </si>
  <si>
    <t>Positive materials (positive area/yr)</t>
  </si>
  <si>
    <t>Area ratio (area/baseline area)</t>
  </si>
  <si>
    <r>
      <t>Solvent evaporated, kg/m</t>
    </r>
    <r>
      <rPr>
        <vertAlign val="superscript"/>
        <sz val="10"/>
        <rFont val="Arial"/>
        <family val="2"/>
      </rPr>
      <t>2</t>
    </r>
  </si>
  <si>
    <t>Coater &amp; dryer power, kW</t>
  </si>
  <si>
    <t>Power to heat air, kW</t>
  </si>
  <si>
    <t>Operating power, kW</t>
  </si>
  <si>
    <t>Negative materials (negative area/yr)</t>
  </si>
  <si>
    <r>
      <t>Solvent evaporated, kg/m</t>
    </r>
    <r>
      <rPr>
        <vertAlign val="superscript"/>
        <sz val="10"/>
        <rFont val="Arial"/>
        <family val="2"/>
      </rPr>
      <t>2</t>
    </r>
    <r>
      <rPr>
        <sz val="10"/>
        <rFont val="Arial"/>
        <family val="2"/>
      </rPr>
      <t>yr</t>
    </r>
  </si>
  <si>
    <t>Calendering</t>
  </si>
  <si>
    <t>Notching</t>
  </si>
  <si>
    <t>Vacuum Drying of Electrodes</t>
  </si>
  <si>
    <t>Cell Assembly in Dry Room</t>
  </si>
  <si>
    <t>Electrode Slitting (total area/yr)</t>
  </si>
  <si>
    <t>Cell Stacking (number of cells/yr)</t>
  </si>
  <si>
    <t>Cell ratio (number of cells/baseline number of cells)</t>
  </si>
  <si>
    <t>Cell Capacity, Ah</t>
  </si>
  <si>
    <t>Current Collector Welding (number of cells/yr)</t>
  </si>
  <si>
    <t>Plant area, m²</t>
  </si>
  <si>
    <t>X-ray Inspection of Cells (number of cells/yr)</t>
  </si>
  <si>
    <t>Inserting Cell in Container (number of cells/yr)</t>
  </si>
  <si>
    <t>Electrolyte Filling and Cell Sealing (number of cells/yr)</t>
  </si>
  <si>
    <t>Dry Room Airlock and Control System (number of cells/year and total area/year)</t>
  </si>
  <si>
    <t>Ratio (number of cells/baseline number of cells) or (area/baseline area)</t>
  </si>
  <si>
    <t>Formation Cycling</t>
  </si>
  <si>
    <t>Aging, Loading, Formation, DC/AC IR Measurements, Sealing, Packing (number of cells/yr)</t>
  </si>
  <si>
    <t>Cell energy ratio (total cell energy/baseline cell energy)</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</si>
  <si>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</si>
  <si>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</si>
  <si>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</si>
  <si>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</si>
  <si>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</si>
  <si>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</si>
  <si>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</si>
  <si>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</si>
  <si>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</si>
  <si>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</si>
  <si>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and Supporting Systems</t>
  </si>
  <si>
    <t>Binder Solvent (NMP) Recovery (kg/yr)</t>
  </si>
  <si>
    <t>Mass ratio (mass/baseline mass)</t>
  </si>
  <si>
    <t xml:space="preserve">Rejected Cell and Scrap Recycle (number of cells/yr) </t>
  </si>
  <si>
    <t>Control Laboratory (energy/yr)</t>
  </si>
  <si>
    <t>Building Support Systems</t>
  </si>
  <si>
    <t>Building additions for dry room</t>
  </si>
  <si>
    <t>Dry room area ratio (area/baseline area)</t>
  </si>
  <si>
    <t>Building cooling systems</t>
  </si>
  <si>
    <t>Process operating power ratio (power/baseline power)</t>
  </si>
  <si>
    <t>Other building systems</t>
  </si>
  <si>
    <t>Total pack energy ratio (energy/baseline energy)</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</si>
  <si>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</si>
  <si>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</si>
  <si>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</si>
  <si>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</si>
  <si>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</si>
  <si>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</si>
  <si>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</si>
  <si>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</si>
  <si>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</si>
  <si>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</si>
  <si>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</si>
  <si>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</si>
  <si>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</si>
  <si>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</si>
  <si>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</si>
  <si>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</si>
  <si>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</si>
  <si>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</si>
  <si>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</si>
  <si>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</si>
  <si>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</si>
  <si>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</si>
  <si>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</si>
  <si>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</si>
  <si>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</si>
  <si>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</si>
  <si>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</si>
  <si>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and land area, m²</t>
  </si>
  <si>
    <t>Energy, GWh/year</t>
  </si>
  <si>
    <t>Energy: electrode processing, GWh/year</t>
  </si>
  <si>
    <t>Energy: cell assembly, GWh/year</t>
  </si>
  <si>
    <t>Energy: formation cycling, testing and sealing, GWh/year</t>
  </si>
  <si>
    <t>Energy: module assembly, GWh/year</t>
  </si>
  <si>
    <t>Energy: pack assembly, GWh/year</t>
  </si>
  <si>
    <t>Energy: warehouse, GWh/year</t>
  </si>
  <si>
    <t>Energy: building and support systems, GWh/year</t>
  </si>
  <si>
    <t>Total energy, GWh/yr</t>
  </si>
  <si>
    <t>Summary for Cost of Cells Only</t>
  </si>
  <si>
    <t>Energy, GWh/yr</t>
  </si>
  <si>
    <t>Summary for Cost of Modules Only (Excluding Cells)</t>
  </si>
  <si>
    <t>Summary for Cost of Packs Only (Excluding Cells &amp; Modules)</t>
  </si>
  <si>
    <t>Summary for All Cells and Packs</t>
  </si>
  <si>
    <t>Plant Utilization</t>
  </si>
  <si>
    <t>Packs manufactured at 100% utilization (packs/yr)</t>
  </si>
  <si>
    <t>Actual number of packs manufactured per year (packs/yr)</t>
  </si>
  <si>
    <t>Calculation of Total Pack, Module, and Cell Costs</t>
  </si>
  <si>
    <t>Assumptions for Cost Calculations</t>
  </si>
  <si>
    <t>Investment Costs for Cells</t>
  </si>
  <si>
    <t>Fixed Capital Investment</t>
  </si>
  <si>
    <t>Capital equipment and building support cost including installation, mil$</t>
  </si>
  <si>
    <t>Cost of building and land, mil$</t>
  </si>
  <si>
    <t>Indirect costs (15% of capital equipment, building, and land), mil$</t>
  </si>
  <si>
    <t>Total fixed capital investment, mil$</t>
  </si>
  <si>
    <t>Additional Capital Investment</t>
  </si>
  <si>
    <t>Total additional capital investment, mil$</t>
  </si>
  <si>
    <t>Total Investment</t>
  </si>
  <si>
    <t>Total investment, mil$</t>
  </si>
  <si>
    <t>Unit Cost of Cells, $/cell</t>
  </si>
  <si>
    <t>Variable Cost</t>
  </si>
  <si>
    <t>Total cost of cell materials and purchased items, $/cell</t>
  </si>
  <si>
    <t>Variable overhead, $/cell</t>
  </si>
  <si>
    <t>Total variable cost, $/cell</t>
  </si>
  <si>
    <t>Fixed Expenses</t>
  </si>
  <si>
    <t>Depreciation, $/cell</t>
  </si>
  <si>
    <t>General, sales, administration, $/cell</t>
  </si>
  <si>
    <t>Research and development, $/cell</t>
  </si>
  <si>
    <t>Financing, $/cell</t>
  </si>
  <si>
    <t>Total fixed expenses, $/cell</t>
  </si>
  <si>
    <t>Additional Costs for Cells</t>
  </si>
  <si>
    <t>Purchased Cells</t>
  </si>
  <si>
    <t>Profits on initial investment (if purchased), $/cell</t>
  </si>
  <si>
    <t>Warranty on cells (if purchased), $/cell</t>
  </si>
  <si>
    <t>Non-purchased cells</t>
  </si>
  <si>
    <t>Profits on initial investment, $/cell</t>
  </si>
  <si>
    <t>Warranty on cells, $/cell</t>
  </si>
  <si>
    <t>Cell-level cost (excluding profits &amp; warranty), $/cell</t>
  </si>
  <si>
    <t>Total cell-level cost, $/cell</t>
  </si>
  <si>
    <t>Cell-level cost per pack (excluding profits &amp; warranty), $/pack</t>
  </si>
  <si>
    <t>Total cell-level cost per pack, $/pack</t>
  </si>
  <si>
    <t>Total cost of additional module materials and purchased items, $/module</t>
  </si>
  <si>
    <t>Variable overhead, $/module</t>
  </si>
  <si>
    <t>Total variable cost, $/module</t>
  </si>
  <si>
    <t>Depreciation, $/module</t>
  </si>
  <si>
    <t>General, sales, administration, $/module</t>
  </si>
  <si>
    <t>Research and development, $/module</t>
  </si>
  <si>
    <t>Financing, $/module</t>
  </si>
  <si>
    <t>Total fixed expenses, $/module</t>
  </si>
  <si>
    <t>Additional Costs on Module-Level Components and Assembly</t>
  </si>
  <si>
    <t>Profits on initial investment (if selected), $/module</t>
  </si>
  <si>
    <t>Warranty on module-level additions (if selected), $/module</t>
  </si>
  <si>
    <t>Total Module-Level Cost (Excludes Non-Purchased Cells)</t>
  </si>
  <si>
    <t>Module-level costs (excluding profits and warranty, if selected), $/module</t>
  </si>
  <si>
    <t>Total module-level cost, $/module</t>
  </si>
  <si>
    <t>Module-level cost per pack (excluding profits and warranty, if selected), $/pack</t>
  </si>
  <si>
    <t>Total module-level cost per pack, $/pack</t>
  </si>
  <si>
    <t>Total cost of additional pack materials and purchased items, $/pack</t>
  </si>
  <si>
    <t>Variable overhead, $/pack</t>
  </si>
  <si>
    <t>Total variable cost, $/pack</t>
  </si>
  <si>
    <t>Depreciation, $/pack</t>
  </si>
  <si>
    <t>General, sales, administration, $/pack</t>
  </si>
  <si>
    <t>Research and development, $/pack</t>
  </si>
  <si>
    <t>Financing, $/pack</t>
  </si>
  <si>
    <t>Total fixed expenses, $/pack</t>
  </si>
  <si>
    <t>Additional Costs on Pack-Level Components and Assembly</t>
  </si>
  <si>
    <t>Profits on initial investment, $/pack</t>
  </si>
  <si>
    <t>Warranty on pack-level additions, $/pack</t>
  </si>
  <si>
    <t>Total Pack-Level Cost (Excludes Cells &amp; Modules)</t>
  </si>
  <si>
    <t>Pack-level costs (excluding profits and warranty, if selected), $/pack</t>
  </si>
  <si>
    <t>Total pack-level cost, $/pack</t>
  </si>
  <si>
    <t>Calculation of Total Pack Cost</t>
  </si>
  <si>
    <t>Total Investment Cost</t>
  </si>
  <si>
    <t>Indirect costs, mil$</t>
  </si>
  <si>
    <t>Total capital investment, mil$</t>
  </si>
  <si>
    <t>Total Pack Cost</t>
  </si>
  <si>
    <t>Cost from non-purchased cells, $/pack</t>
  </si>
  <si>
    <t>Cost from module materials and manufacturing, $/pack</t>
  </si>
  <si>
    <t>Cost from pack materials and manufacturing, $/pack</t>
  </si>
  <si>
    <t>Warranty (includes pack only), $/pack</t>
  </si>
  <si>
    <t>Total cost per pack, $/pack</t>
  </si>
  <si>
    <t>Summary of Battery System Costs</t>
  </si>
  <si>
    <t>Total pack cost, $/battery system</t>
  </si>
  <si>
    <t>Cost of additioanl integration w/ vehicle,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</si>
  <si>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</si>
  <si>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</si>
  <si>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</si>
  <si>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</si>
  <si>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</si>
  <si>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Yields</t>
  </si>
  <si>
    <t>Cell yield, %</t>
  </si>
  <si>
    <t>(change in dashboard)</t>
  </si>
  <si>
    <t>Effective Yield</t>
  </si>
  <si>
    <t>Electrode</t>
  </si>
  <si>
    <t>Materials yield per accepted cell, %</t>
  </si>
  <si>
    <t>Across All Steps</t>
  </si>
  <si>
    <t>Mixing</t>
  </si>
  <si>
    <t>Coating</t>
  </si>
  <si>
    <t>Slitting</t>
  </si>
  <si>
    <t>Stacking</t>
  </si>
  <si>
    <t>Filling</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</si>
  <si>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</si>
  <si>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</si>
  <si>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</si>
  <si>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</si>
  <si>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</si>
  <si>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</si>
  <si>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</si>
  <si>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</si>
  <si>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</si>
  <si>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t>Purchased Materials Costs</t>
  </si>
  <si>
    <t>Cost per</t>
  </si>
  <si>
    <t>Plus Cost</t>
  </si>
  <si>
    <t>Mass, $/kg</t>
  </si>
  <si>
    <t>per Cell*, $</t>
  </si>
  <si>
    <t>Positive terminal</t>
  </si>
  <si>
    <t>Al</t>
  </si>
  <si>
    <t>Negative terminal</t>
  </si>
  <si>
    <t>Cu</t>
  </si>
  <si>
    <t>Cell Container</t>
  </si>
  <si>
    <t>PET-Al-PP</t>
  </si>
  <si>
    <t>Heat conductor</t>
  </si>
  <si>
    <t>*Scale exponent for "plus cost," p (default = 0.85)</t>
  </si>
  <si>
    <t>Cost per Module</t>
  </si>
  <si>
    <t>Parallel Unit, $</t>
  </si>
  <si>
    <t>Capacity, $/Ah</t>
  </si>
  <si>
    <t>Module management system, MMS</t>
  </si>
  <si>
    <t>per Item*, $</t>
  </si>
  <si>
    <t>Cell interconnect</t>
  </si>
  <si>
    <t>Interconnect panel</t>
  </si>
  <si>
    <t>PP</t>
  </si>
  <si>
    <t>Module terminal</t>
  </si>
  <si>
    <t>Module enclosure materials</t>
  </si>
  <si>
    <t>Steel</t>
  </si>
  <si>
    <t>Row rack</t>
  </si>
  <si>
    <t>Pads between modules</t>
  </si>
  <si>
    <t>Bus bars</t>
  </si>
  <si>
    <t>Cooling panels</t>
  </si>
  <si>
    <t>Coolant manifolds</t>
  </si>
  <si>
    <t>Pack terminals and seals</t>
  </si>
  <si>
    <r>
      <t>Pack jacket insulation, $/m</t>
    </r>
    <r>
      <rPr>
        <sz val="10"/>
        <rFont val="Calibri"/>
        <family val="2"/>
      </rPr>
      <t>²</t>
    </r>
  </si>
  <si>
    <t>*Scale exponent for "plus cost" (p) (default = 0.85)</t>
  </si>
  <si>
    <t>Cost Rates for Manufacturing and Cost Breakdowns</t>
  </si>
  <si>
    <t>Cost Rates for Manufacturing</t>
  </si>
  <si>
    <t>Effective full days of operation per year (default = 320)</t>
  </si>
  <si>
    <t>Investment Costs</t>
  </si>
  <si>
    <r>
      <t>Cost of land and building (default = 1000), $/m</t>
    </r>
    <r>
      <rPr>
        <sz val="10"/>
        <rFont val="Calibri"/>
        <family val="2"/>
      </rPr>
      <t>²</t>
    </r>
  </si>
  <si>
    <t>Indirect costs (default = 15), % of CapEx, land, and building</t>
  </si>
  <si>
    <t>Launch cost rates</t>
  </si>
  <si>
    <t xml:space="preserve">     Percent of direct annual materials and purch. items cost (default = 5), %</t>
  </si>
  <si>
    <t xml:space="preserve">     Percent of direct labor, energy, and variable overhead (default = 10), %</t>
  </si>
  <si>
    <t>Working capital, percent of annual variable cost (default = 15), %</t>
  </si>
  <si>
    <t>Unit Cost of Battery Pack</t>
  </si>
  <si>
    <t>Direct labor rate (default = 25), $/hr</t>
  </si>
  <si>
    <t>Price of energy (default = 0.04) $/kWh</t>
  </si>
  <si>
    <t>Variable overhead rate</t>
  </si>
  <si>
    <t xml:space="preserve">     % of direct labor (default = 40)</t>
  </si>
  <si>
    <t xml:space="preserve">     % of fixed capital investment (default = 2)</t>
  </si>
  <si>
    <t>General, Sales, Administration rates</t>
  </si>
  <si>
    <t xml:space="preserve">     Percent of direct labor plus variable overhead (default = 25), %</t>
  </si>
  <si>
    <t xml:space="preserve">     Percent of fixed capital investment (default = 0.75), %</t>
  </si>
  <si>
    <t>Research and development rate (default = 35), % of depreciation</t>
  </si>
  <si>
    <t>Depreciation rates (straight line depreciation)</t>
  </si>
  <si>
    <t xml:space="preserve">     Lifetime of manufacturing capital equipment (default = 10), years</t>
  </si>
  <si>
    <t xml:space="preserve">     Lifetime of building capital equipment (default = 15), years</t>
  </si>
  <si>
    <t xml:space="preserve">     Percent of capital equipment investment, %</t>
  </si>
  <si>
    <t xml:space="preserve">     Lifetime of building and land investment (default = 20), years</t>
  </si>
  <si>
    <t xml:space="preserve">     Percent of building investment (default = 5), % </t>
  </si>
  <si>
    <t>Financing (default = 0.75), % of total capital investment</t>
  </si>
  <si>
    <t>Cell profits (default = 5), % of investment</t>
  </si>
  <si>
    <t>Cell warranty cost (default = 5.6), % of cell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</si>
  <si>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</si>
  <si>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</si>
  <si>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</si>
  <si>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</si>
  <si>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</si>
  <si>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</si>
  <si>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</si>
  <si>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</si>
  <si>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Energy</t>
  </si>
  <si>
    <t>Battery Assembly Costs (baseline reference)</t>
  </si>
  <si>
    <t>Operation</t>
  </si>
  <si>
    <t>Materials preparation and delivery to coating</t>
  </si>
  <si>
    <t>Positive materials</t>
  </si>
  <si>
    <t>Pertinent volume: volume of positive slurry/year</t>
  </si>
  <si>
    <t>Negative materials</t>
  </si>
  <si>
    <t>Electrode coating</t>
  </si>
  <si>
    <t>Pertinent volume: positive electrode area/year</t>
  </si>
  <si>
    <r>
      <t>Solvent evaporated, kg/m</t>
    </r>
    <r>
      <rPr>
        <sz val="10"/>
        <rFont val="Calibri"/>
        <family val="2"/>
      </rPr>
      <t>²</t>
    </r>
    <r>
      <rPr>
        <sz val="10"/>
        <rFont val="Arial"/>
        <family val="2"/>
      </rPr>
      <t>yr</t>
    </r>
  </si>
  <si>
    <t>Pertinent volume: negative electrode area/year</t>
  </si>
  <si>
    <t>Electrode Slitting (positive and negative)</t>
  </si>
  <si>
    <t>Pertinent volume: total electrode area/year</t>
  </si>
  <si>
    <t>Cell stacking</t>
  </si>
  <si>
    <t>Pertinent volume: number of cells/year</t>
  </si>
  <si>
    <t>Baseline Cell Capacity, Ah</t>
  </si>
  <si>
    <t>Current collector welding</t>
  </si>
  <si>
    <t>X-ray inspection</t>
  </si>
  <si>
    <t>Inserting cell in container</t>
  </si>
  <si>
    <t>Electrolyte filling and cell sealing</t>
  </si>
  <si>
    <t>Dry room airlock and control system</t>
  </si>
  <si>
    <t>Pertinent volume: total electrode area/year or number of cells/year</t>
  </si>
  <si>
    <t>Formation Cycling, Testing, and Cell Sealing</t>
  </si>
  <si>
    <t>Total formation process</t>
  </si>
  <si>
    <t>Module and Pack Assembly</t>
  </si>
  <si>
    <t>Module assembly</t>
  </si>
  <si>
    <t>Pertinent volume: number of modules/year</t>
  </si>
  <si>
    <t>Battery Pack Assembly and Testing</t>
  </si>
  <si>
    <t>Pertinent volume: number of packs/year</t>
  </si>
  <si>
    <t>Warehouse</t>
  </si>
  <si>
    <t>Cell Warehouse &amp; Storage</t>
  </si>
  <si>
    <t>Pertinent volume: energy/year</t>
  </si>
  <si>
    <t>Solvent recovery</t>
  </si>
  <si>
    <t>Pertinent volume: NMP mass/year</t>
  </si>
  <si>
    <t>Rejected Cell and Scrap Recycle</t>
  </si>
  <si>
    <t>Control laboratory</t>
  </si>
  <si>
    <t>Building Systems</t>
  </si>
  <si>
    <t>Additions for dry room</t>
  </si>
  <si>
    <t>Pertinent volume: dry room area</t>
  </si>
  <si>
    <t>Pertinent volume: process operating power</t>
  </si>
  <si>
    <t>Baseline process operating power, kW</t>
  </si>
  <si>
    <t>Other building systems (cells)</t>
  </si>
  <si>
    <t>Baseline Manufacturing Rates</t>
  </si>
  <si>
    <t>Effective full days of operation per year</t>
  </si>
  <si>
    <t>Number of 8-hr shifts per day (2 for shipping and receiving)</t>
  </si>
  <si>
    <t>Number of annual 8-h shifts</t>
  </si>
  <si>
    <t>Pack Energy, kWh per year</t>
  </si>
  <si>
    <t>Dry room area, m²</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</si>
  <si>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</si>
  <si>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</si>
  <si>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</si>
  <si>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</si>
  <si>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</si>
  <si>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</si>
  <si>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</si>
  <si>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</si>
  <si>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</si>
  <si>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</si>
  <si>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</si>
  <si>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</si>
  <si>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</si>
  <si>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</si>
  <si>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</si>
  <si>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</si>
  <si>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</si>
  <si>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</si>
  <si>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</si>
  <si>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Total cost of energy</t>
  </si>
  <si>
    <t>Total cost of variable overhead</t>
  </si>
  <si>
    <t>Total cost of depreciation</t>
  </si>
  <si>
    <t>Total cost of general, sales, administration</t>
  </si>
  <si>
    <t>Total cost of research and development</t>
  </si>
  <si>
    <t>Total cost of financing</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</si>
  <si>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</si>
  <si>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</si>
  <si>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</si>
  <si>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</si>
  <si>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</si>
  <si>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</si>
  <si>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</si>
  <si>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</si>
  <si>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</si>
  <si>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</si>
  <si>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</si>
  <si>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</si>
  <si>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</si>
  <si>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</si>
  <si>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</si>
  <si>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</si>
  <si>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</si>
  <si>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</si>
  <si>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</si>
  <si>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Energy, $/pack</t>
  </si>
  <si>
    <t>Multiplier for transferring overhead to energy costs</t>
  </si>
  <si>
    <t>Total cost of energy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</si>
  <si>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</si>
  <si>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</si>
  <si>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</si>
  <si>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</si>
  <si>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</si>
  <si>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</si>
  <si>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</si>
  <si>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</si>
  <si>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</si>
  <si>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</si>
  <si>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</si>
  <si>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</si>
  <si>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</si>
  <si>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</si>
  <si>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</si>
  <si>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</si>
  <si>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</si>
  <si>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</si>
  <si>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</si>
  <si>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</si>
  <si>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(discrepancies up to $1 may be observed w/ 'Manufacturing Cost' tab due to rounding issues)</t>
  </si>
  <si>
    <t>Total pack cost for breakdown with overhead distributed to processes</t>
  </si>
  <si>
    <t>Materials and Purchased Items</t>
  </si>
  <si>
    <t>Positive active material, $/pack</t>
  </si>
  <si>
    <t>Negative active material, $/pack</t>
  </si>
  <si>
    <t>Carbon additive, $/pack</t>
  </si>
  <si>
    <t>Binders, $/pack</t>
  </si>
  <si>
    <t>Solvents, $/pack</t>
  </si>
  <si>
    <t>Positive current collector, $/pack</t>
  </si>
  <si>
    <t>Negative current collector, $/pack</t>
  </si>
  <si>
    <t>Separators, $/pack</t>
  </si>
  <si>
    <t>Electrolyte, $/pack</t>
  </si>
  <si>
    <t>Additives, $/pack</t>
  </si>
  <si>
    <t>Total cost of materials, $/pack</t>
  </si>
  <si>
    <t>Purchased Items</t>
  </si>
  <si>
    <t>Positive terminals, $/pack</t>
  </si>
  <si>
    <t>Negative terminals, $/pack</t>
  </si>
  <si>
    <t>Containers, $/pack</t>
  </si>
  <si>
    <t>Total cell purchased items, $/pack</t>
  </si>
  <si>
    <t>Purchased cells, $/pack</t>
  </si>
  <si>
    <t>Aluminum thermal conductors, $/pack</t>
  </si>
  <si>
    <t>Module management system, $/pack</t>
  </si>
  <si>
    <t>Cell interconnects, $/pack</t>
  </si>
  <si>
    <t>Interconnect panel, $/pack</t>
  </si>
  <si>
    <t>Module terminals, $/pack</t>
  </si>
  <si>
    <t>Module enclosure, $/pack</t>
  </si>
  <si>
    <t>Provision for gas release, $/pack</t>
  </si>
  <si>
    <t>Total module purchased items, $/pack</t>
  </si>
  <si>
    <t>Purchased modules, $/pack</t>
  </si>
  <si>
    <t>Row rack materials, $/pack</t>
  </si>
  <si>
    <t>Module Interconnects and signal wiring, $/pack</t>
  </si>
  <si>
    <t>Cooling panels, $/pack</t>
  </si>
  <si>
    <t>Pack jacket steel, $/pack</t>
  </si>
  <si>
    <t>Pack jacket aluminum, $/pack</t>
  </si>
  <si>
    <t>Total pack purchased items, $/pack</t>
  </si>
  <si>
    <t>Total purchsed items</t>
  </si>
  <si>
    <t>Total cost of purchased items, $/pack</t>
  </si>
  <si>
    <t>Manufacturing</t>
  </si>
  <si>
    <t>Total cost of direct labor, $/pack</t>
  </si>
  <si>
    <t>Total cost of energy, $/pack</t>
  </si>
  <si>
    <t>Cost of variable overhead, $/pack</t>
  </si>
  <si>
    <t>Cost of general, sales, administration, $/pack</t>
  </si>
  <si>
    <t>Cost of research and development, $/pack</t>
  </si>
  <si>
    <t>Cost of depreciation, $/pack</t>
  </si>
  <si>
    <t>Total cost of financing, $/pack</t>
  </si>
  <si>
    <t>Total cost of manufacturing, $/pack</t>
  </si>
  <si>
    <t>Additional Costs</t>
  </si>
  <si>
    <t>Battery management system, $/pack</t>
  </si>
  <si>
    <t>Per unit profit, $/pack</t>
  </si>
  <si>
    <t>Warranty (includes battery pack only, $/pack)</t>
  </si>
  <si>
    <t>Total cost of BMS, $/pack</t>
  </si>
  <si>
    <t>Total cost of profits and warranty, $/pack</t>
  </si>
  <si>
    <t>Total cost, $/pack</t>
  </si>
  <si>
    <t>Breakdown of Pack Costs, % of pack</t>
  </si>
  <si>
    <t>Positive active material, % of pack</t>
  </si>
  <si>
    <t>Negative active material, % of pack</t>
  </si>
  <si>
    <t>Carbon additive, % of pack</t>
  </si>
  <si>
    <t>Binders, % of pack</t>
  </si>
  <si>
    <t>Solvents, % of pack</t>
  </si>
  <si>
    <t>Positive current collector, % of pack</t>
  </si>
  <si>
    <t>Negative current collector, % of pack</t>
  </si>
  <si>
    <t>Separators, % of pack</t>
  </si>
  <si>
    <t>Electrolyte, % of pack</t>
  </si>
  <si>
    <t>Additives, % of pack</t>
  </si>
  <si>
    <t>Total cost of materials, % of pack</t>
  </si>
  <si>
    <t>Positive terminals, % of pack</t>
  </si>
  <si>
    <t>Negative terminals, % of pack</t>
  </si>
  <si>
    <t>Containers, % of pack</t>
  </si>
  <si>
    <t>Total cell purchased items, % of pack</t>
  </si>
  <si>
    <t>Purchased cells, % of pack</t>
  </si>
  <si>
    <t>Aluminum thermal conductors, % of pack</t>
  </si>
  <si>
    <t>Module management system, % of pack</t>
  </si>
  <si>
    <t>Cell interconnects, % of pack</t>
  </si>
  <si>
    <t>Interconnect panel, % of pack</t>
  </si>
  <si>
    <t>Module terminals, % of pack</t>
  </si>
  <si>
    <t>Module enclosure, % of pack</t>
  </si>
  <si>
    <t>Provision for gas release, % of pack</t>
  </si>
  <si>
    <t>Total module purchased items, % of pack</t>
  </si>
  <si>
    <t>Purchased modules, % of pack</t>
  </si>
  <si>
    <t>Row rack materials, % of pack</t>
  </si>
  <si>
    <t>Elastomer pads between modules, % of pack</t>
  </si>
  <si>
    <t>Module Interconnects and signal wiring, % of pack</t>
  </si>
  <si>
    <t>Bus bar for battery packs, % of pack</t>
  </si>
  <si>
    <t>Cooling panels, % of pack</t>
  </si>
  <si>
    <t>Coolant manifolds, % of pack</t>
  </si>
  <si>
    <t>Pack terminals and seals, % of pack</t>
  </si>
  <si>
    <t>Pack jacket steel, % of pack</t>
  </si>
  <si>
    <t>Pack jacket aluminum, % of pack</t>
  </si>
  <si>
    <t>Pack jacket insulation, % of pack</t>
  </si>
  <si>
    <t>Baseline thermal system, % of pack</t>
  </si>
  <si>
    <t>Heating system, % of pack</t>
  </si>
  <si>
    <t>Total pack purchased items, % of pack</t>
  </si>
  <si>
    <t>Total cost of purchased items, % of pack</t>
  </si>
  <si>
    <t>Total cost of direct labor, % of pack</t>
  </si>
  <si>
    <t>Cost of variable overhead, % of pack</t>
  </si>
  <si>
    <t>Cost of general, sales, administration, % of pack</t>
  </si>
  <si>
    <t>Cost of research and development, % of pack</t>
  </si>
  <si>
    <t>Cost of depreciation, % of pack</t>
  </si>
  <si>
    <t>Total cost of manufacturing, % of pack</t>
  </si>
  <si>
    <t>Battery management system, % of pack</t>
  </si>
  <si>
    <t>Per unit profit, % of pack</t>
  </si>
  <si>
    <t>Warranty (includes battery pack only), % of pack</t>
  </si>
  <si>
    <t>Total cost of BMS, % of pack</t>
  </si>
  <si>
    <t>Total cost of profits and warranty, % of pack</t>
  </si>
  <si>
    <t>Total cost, % of pack</t>
  </si>
  <si>
    <t>Breakdown of Pack Cost with Overhead Items Distributed to Basic Cost Factors, $/pack</t>
  </si>
  <si>
    <t>Multipliers for Transferring Overhead to Basic Cost Factors, $/pack</t>
  </si>
  <si>
    <t>Multiplier for transferring overhead to materials and purchased items costs</t>
  </si>
  <si>
    <t>Materials, Purchased Items, and BMS with Overhead</t>
  </si>
  <si>
    <t>Total purchased items</t>
  </si>
  <si>
    <t>Total Materials and Purchased Items</t>
  </si>
  <si>
    <t>Total cost of materials and purchased items</t>
  </si>
  <si>
    <t>Electrode Processing with Overhead</t>
  </si>
  <si>
    <t>Positive materials (positive mass/yr)</t>
  </si>
  <si>
    <t>Direct labor, $/pack</t>
  </si>
  <si>
    <t>Capital equipment, $/pack</t>
  </si>
  <si>
    <t>Building and land, $/pack</t>
  </si>
  <si>
    <t>Total, $/pack</t>
  </si>
  <si>
    <t>Negative materials (negative mass/yr)</t>
  </si>
  <si>
    <t>Total materials preparation/mixing with overhead</t>
  </si>
  <si>
    <t>Total coating with overhead</t>
  </si>
  <si>
    <t>Total calendaring with overhead</t>
  </si>
  <si>
    <t>Total notching with overhead</t>
  </si>
  <si>
    <t>Total vacuum drying w/ overhead</t>
  </si>
  <si>
    <t>Total Electrode Processing</t>
  </si>
  <si>
    <t>Cell Assembly in Dry Room with Overhead</t>
  </si>
  <si>
    <t>Dry Room and Dry Room Control System (number of cells/year and total area/year)</t>
  </si>
  <si>
    <t>Total Cell Assembly</t>
  </si>
  <si>
    <t>Formation Cycling with Overhead</t>
  </si>
  <si>
    <t>Plant area, $/pack</t>
  </si>
  <si>
    <t>Total building support systems</t>
  </si>
  <si>
    <t>Total Building and Support Systems</t>
  </si>
  <si>
    <t>Manufacturing Summary, $/pack</t>
  </si>
  <si>
    <t>Cost breakdown by process</t>
  </si>
  <si>
    <t>Cost of electrode processing, $/pack</t>
  </si>
  <si>
    <t>Cost of cell assembly, $/pack</t>
  </si>
  <si>
    <t>Cost of formation cycling, testing and sealing, $/pack</t>
  </si>
  <si>
    <t>Cost of module assembly, $/pack</t>
  </si>
  <si>
    <t>Cost of pack assembly, $/pack</t>
  </si>
  <si>
    <t>Cost of warehouse, $/pack</t>
  </si>
  <si>
    <t>Cost of building and support systems, $/pack</t>
  </si>
  <si>
    <t>Total manufacturing cost, $/pack</t>
  </si>
  <si>
    <t>Cost breakdown by type</t>
  </si>
  <si>
    <t>Equipment</t>
  </si>
  <si>
    <t>Building and Land</t>
  </si>
  <si>
    <t>Cost Breakdown with Overhead Distributed to Processes, $/pack</t>
  </si>
  <si>
    <t>Cost of materials, $/pack</t>
  </si>
  <si>
    <t>Cost of purchased items, $/pack</t>
  </si>
  <si>
    <t>Cost of BMS, $/pack</t>
  </si>
  <si>
    <t>Cost of manufacturing, $/pack</t>
  </si>
  <si>
    <t>Total pack cost, $/pack</t>
  </si>
  <si>
    <t>Breakdown of Pack Cost with Overhead Items Distributed to Basic Cost Factors, % of pack</t>
  </si>
  <si>
    <t>Materials, Purchased Items, and BMS with Overhead Included</t>
  </si>
  <si>
    <t>Total Materials and Purchased Items, % of pack</t>
  </si>
  <si>
    <t>Recoverable Materials/Recycling</t>
  </si>
  <si>
    <t>Summary of Battery Performance (For Reference Below)</t>
  </si>
  <si>
    <t>Battery pack energy storage, kWh</t>
  </si>
  <si>
    <t>Number of cells per battery pack</t>
  </si>
  <si>
    <t>Elements to Track in Electrodes</t>
  </si>
  <si>
    <t>Select elements to track (up to 4), lithium will be caculated as well</t>
  </si>
  <si>
    <t>Elements</t>
  </si>
  <si>
    <t>Ni</t>
  </si>
  <si>
    <t>Co</t>
  </si>
  <si>
    <t>Si</t>
  </si>
  <si>
    <t>nElements</t>
  </si>
  <si>
    <t>Cathode ID</t>
  </si>
  <si>
    <t>Anode ID</t>
  </si>
  <si>
    <t>Recoverable Materials at End of Pack Life</t>
  </si>
  <si>
    <t>Cell balance</t>
  </si>
  <si>
    <t>Electroylte mass, g/cell</t>
  </si>
  <si>
    <t>Electroylte volume, L/cell</t>
  </si>
  <si>
    <t>Positive additive, g/cell</t>
  </si>
  <si>
    <t>Negative additive, g/cell</t>
  </si>
  <si>
    <t>Electrolyte additive, g/cell</t>
  </si>
  <si>
    <t>Lithium Balance</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</si>
  <si>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</si>
  <si>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</si>
  <si>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</si>
  <si>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</si>
  <si>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</si>
  <si>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</si>
  <si>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</si>
  <si>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</si>
  <si>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</si>
  <si>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</si>
  <si>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</si>
  <si>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</si>
  <si>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</si>
  <si>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</si>
  <si>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</si>
  <si>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</si>
  <si>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</si>
  <si>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</si>
  <si>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</si>
  <si>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</si>
  <si>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</si>
  <si>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</si>
  <si>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</si>
  <si>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</si>
  <si>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</si>
  <si>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</si>
  <si>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</si>
  <si>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</si>
  <si>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</si>
  <si>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</si>
  <si>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</si>
  <si>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</si>
  <si>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</si>
  <si>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</si>
  <si>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</si>
  <si>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</si>
  <si>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</si>
  <si>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</si>
  <si>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current collector, kg/yr</t>
  </si>
  <si>
    <t>Negative current collector, kg/yr</t>
  </si>
  <si>
    <t>Separator, kg/yr</t>
  </si>
  <si>
    <t>Electrolyte, kg/yr</t>
  </si>
  <si>
    <t>Elemental Breakdown, kg/year</t>
  </si>
  <si>
    <t>Li, kg/yr</t>
  </si>
  <si>
    <t>Metals from Current Collectors</t>
  </si>
  <si>
    <t>Al, kg/yr</t>
  </si>
  <si>
    <t>Cu, kg/yr</t>
  </si>
  <si>
    <t>Materials in Cells Rejected after Testing, kg/year</t>
  </si>
  <si>
    <t>Positive terminal, kg/yr</t>
  </si>
  <si>
    <t>Negative terminal, kg/yr</t>
  </si>
  <si>
    <t>Cell container, kg/yr</t>
  </si>
  <si>
    <t>Elemental Breakdown, kg/yr</t>
  </si>
  <si>
    <t>Metals from Current Collectors and Terminals</t>
  </si>
  <si>
    <t>Total Recoverable Materials from Plant, kg/year</t>
  </si>
  <si>
    <t>Thermal Modeling</t>
  </si>
  <si>
    <t>Thermal Input</t>
  </si>
  <si>
    <t>Average operating temperature, °C</t>
  </si>
  <si>
    <r>
      <t xml:space="preserve">Coolant temperature at inlet to pack (default = 15), </t>
    </r>
    <r>
      <rPr>
        <sz val="10"/>
        <rFont val="Calibri"/>
        <family val="2"/>
      </rPr>
      <t>°</t>
    </r>
    <r>
      <rPr>
        <sz val="10"/>
        <rFont val="Arial"/>
        <family val="2"/>
      </rPr>
      <t>C</t>
    </r>
  </si>
  <si>
    <r>
      <t xml:space="preserve">Total rise in coolant temperature (default = 5), </t>
    </r>
    <r>
      <rPr>
        <sz val="10"/>
        <rFont val="Calibri"/>
        <family val="2"/>
      </rPr>
      <t>°</t>
    </r>
    <r>
      <rPr>
        <sz val="10"/>
        <rFont val="Arial"/>
        <family val="2"/>
      </rPr>
      <t>C</t>
    </r>
  </si>
  <si>
    <t>Available energy, kWh</t>
  </si>
  <si>
    <t>Estimated heat capacity of battery (default = 0.85), J/g-°C</t>
  </si>
  <si>
    <t>Mass of battery pack less 50% of jacket mass kg</t>
  </si>
  <si>
    <t>Designed battery system power for short bursts, kW</t>
  </si>
  <si>
    <t>Duration of short burst power, s</t>
  </si>
  <si>
    <t>Energy requirement for pack on UDDS, Wh/mile</t>
  </si>
  <si>
    <t>Energy requirement for pack on UDDS (override), Wh/mile</t>
  </si>
  <si>
    <t>Cooling Requirements</t>
  </si>
  <si>
    <t>Heat Generation in Battery System</t>
  </si>
  <si>
    <t>Estimation of Power Requirement for Vehicle at Designated Speed</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</si>
  <si>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</si>
  <si>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</si>
  <si>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</si>
  <si>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</si>
  <si>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Designated constant speed at energy requirement, mph</t>
  </si>
  <si>
    <t>Total power at designated speed, kW</t>
  </si>
  <si>
    <t>Heat Generation in Battery System at Sustained Speed</t>
  </si>
  <si>
    <t>Override battery power for sustained speed</t>
  </si>
  <si>
    <t>Sustained battery power (C/3), kW</t>
  </si>
  <si>
    <t>Sustained battery power at speed, kW</t>
  </si>
  <si>
    <t>Selected sustained battery power</t>
  </si>
  <si>
    <t>Applicable battery resistance, ohms</t>
  </si>
  <si>
    <t>Voltage on discharge, V</t>
  </si>
  <si>
    <t>Current on discharge, I</t>
  </si>
  <si>
    <t>Heat generation during sustained discharge, W</t>
  </si>
  <si>
    <t>Efficiency for sustained discharge (adiabatic), %</t>
  </si>
  <si>
    <r>
      <t xml:space="preserve">Average battery temperature at end of sustained discharge (adiabatic), </t>
    </r>
    <r>
      <rPr>
        <sz val="10"/>
        <rFont val="Calibri"/>
        <family val="2"/>
      </rPr>
      <t>°</t>
    </r>
    <r>
      <rPr>
        <sz val="10"/>
        <rFont val="Arial"/>
        <family val="2"/>
      </rPr>
      <t>C</t>
    </r>
  </si>
  <si>
    <t>Heat Generation for Adiabatic Pulse</t>
  </si>
  <si>
    <t>2s battery thermal resistance, ohms</t>
  </si>
  <si>
    <t>10s battery thermal resistance, ohms</t>
  </si>
  <si>
    <r>
      <t xml:space="preserve">Length of tri-layer, </t>
    </r>
    <r>
      <rPr>
        <sz val="10"/>
        <rFont val="Calibri"/>
        <family val="2"/>
      </rPr>
      <t>µ</t>
    </r>
    <r>
      <rPr>
        <sz val="10"/>
        <rFont val="Arial"/>
        <family val="2"/>
      </rPr>
      <t>m</t>
    </r>
  </si>
  <si>
    <r>
      <t>Effective diffusive constant, m</t>
    </r>
    <r>
      <rPr>
        <sz val="10"/>
        <rFont val="Calibri"/>
        <family val="2"/>
      </rPr>
      <t>²</t>
    </r>
    <r>
      <rPr>
        <sz val="10"/>
        <rFont val="Arial"/>
        <family val="2"/>
      </rPr>
      <t>/s</t>
    </r>
  </si>
  <si>
    <t>First thermal constant, ohms</t>
  </si>
  <si>
    <t>Second thermal constant, ohms</t>
  </si>
  <si>
    <t>Thermal integration constant, ohms*s</t>
  </si>
  <si>
    <t>Appartent activation energy constant (default = -5000 J/mol)</t>
  </si>
  <si>
    <t>Average temperature at end of adiabatic pulse, °C</t>
  </si>
  <si>
    <r>
      <t>Over-estimated temperature rise (Q = I</t>
    </r>
    <r>
      <rPr>
        <sz val="10"/>
        <rFont val="Calibri"/>
        <family val="2"/>
      </rPr>
      <t>²</t>
    </r>
    <r>
      <rPr>
        <i/>
        <sz val="10"/>
        <rFont val="Arial"/>
        <family val="2"/>
      </rPr>
      <t>R)</t>
    </r>
  </si>
  <si>
    <t>Heat generation, W or joules/sec</t>
  </si>
  <si>
    <t>Total heat generated during pulse, joules</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</si>
  <si>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</si>
  <si>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</si>
  <si>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</si>
  <si>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</si>
  <si>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</si>
  <si>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Cooling required at steady state per pack, W</t>
  </si>
  <si>
    <t>Summary of Cooling Requirements</t>
  </si>
  <si>
    <t>Override heat generation rate, W</t>
  </si>
  <si>
    <t>Heat generation with hot start considerations, W</t>
  </si>
  <si>
    <t>Selected heat generation rate for pack, W</t>
  </si>
  <si>
    <t>Temperature in Cell at Sustained Speed (w/ Cooling)</t>
  </si>
  <si>
    <t>Thermal Conductivities</t>
  </si>
  <si>
    <t>Layer Thicknesses, microns</t>
  </si>
  <si>
    <r>
      <t xml:space="preserve">Layer thickness: positive foil, </t>
    </r>
    <r>
      <rPr>
        <sz val="10"/>
        <rFont val="Calibri"/>
        <family val="2"/>
      </rPr>
      <t>µm</t>
    </r>
  </si>
  <si>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</si>
  <si>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</si>
  <si>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</si>
  <si>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</si>
  <si>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</si>
  <si>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</si>
  <si>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</si>
  <si>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</si>
  <si>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</si>
  <si>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</si>
  <si>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</si>
  <si>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</si>
  <si>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</si>
  <si>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</si>
  <si>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</si>
  <si>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</si>
  <si>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Cooling of Modules with 50/50% Ethylene Glycol/Water at Steady State</t>
  </si>
  <si>
    <t>Temperature from Cell Center to Cooling Panel Wall</t>
  </si>
  <si>
    <t>Heat rejection per cell, W</t>
  </si>
  <si>
    <t>Length of aluminum conductor, cm</t>
  </si>
  <si>
    <t>Total conduction thickness including pouch aluminum, cm</t>
  </si>
  <si>
    <t>Thickness of cell, cm</t>
  </si>
  <si>
    <t>Width of cell, cm</t>
  </si>
  <si>
    <t>Thickness of cell edge, cm</t>
  </si>
  <si>
    <t>Heat transfer through cell edges per unit temperature differential, W/°C</t>
  </si>
  <si>
    <t>Heat transfer through cell sides per unit temperature differential, W/°C</t>
  </si>
  <si>
    <t>Temperature drop from cell center to module wall, °C</t>
  </si>
  <si>
    <t>Temperature Drop for Cooling Panel Wall to Bulk Fluid</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</si>
  <si>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</si>
  <si>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</si>
  <si>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</si>
  <si>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</si>
  <si>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</si>
  <si>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Coolant conductivity (k), W/cm-°C</t>
  </si>
  <si>
    <t>Prandlt Number, Pr</t>
  </si>
  <si>
    <t>Graetz number, Gz</t>
  </si>
  <si>
    <t>Mean Nusselt number, Nu</t>
  </si>
  <si>
    <t>h = Nu*k/Dh, W/cm²-°C</t>
  </si>
  <si>
    <t>Effective area, cm²</t>
  </si>
  <si>
    <t>Temperature drop from module wall to bulk fluid at steady state, °C</t>
  </si>
  <si>
    <t xml:space="preserve">Temperature Drop From Center of Cell to Bulk Fluid </t>
  </si>
  <si>
    <t>Temperature drop from cell center to bulk fluid, °C</t>
  </si>
  <si>
    <t>Maximum temperature of center of cells, °C</t>
  </si>
  <si>
    <t>Power Requirements for Pump</t>
  </si>
  <si>
    <t>Volume of 50/50% ethylene glycol/water solution within battery, L</t>
  </si>
  <si>
    <t>Mass of 50/50% ethylene glycol/water solution within battery, kg</t>
  </si>
  <si>
    <r>
      <t>Required rate of fluid flow (Q), cm</t>
    </r>
    <r>
      <rPr>
        <sz val="10"/>
        <rFont val="Calibri"/>
        <family val="2"/>
      </rPr>
      <t>³</t>
    </r>
    <r>
      <rPr>
        <sz val="10"/>
        <rFont val="Arial"/>
        <family val="2"/>
      </rPr>
      <t>/s</t>
    </r>
  </si>
  <si>
    <t>Fluid mass rate (G), g/sec-cm²</t>
  </si>
  <si>
    <t>Flow passage thickness, cm</t>
  </si>
  <si>
    <t>Flow passage width, cm</t>
  </si>
  <si>
    <t>Hydraulic diameter (Dh), cm</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</si>
  <si>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</si>
  <si>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</si>
  <si>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</si>
  <si>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</si>
  <si>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</si>
  <si>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</si>
  <si>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connections and turns (default = 200), %</t>
  </si>
  <si>
    <t>Total efficiency of pump and motor (default = 50), %</t>
  </si>
  <si>
    <t>Power to pump through coolant flow system in pack, W</t>
  </si>
  <si>
    <t>Power to pump through heat exchanger, W</t>
  </si>
  <si>
    <t>Total pumping power, W</t>
  </si>
  <si>
    <t>Thermal System Design</t>
  </si>
  <si>
    <t>Cooling System Design</t>
  </si>
  <si>
    <t>Cooling system type</t>
  </si>
  <si>
    <t>Cooling system power requirement for entire battery system, W</t>
  </si>
  <si>
    <t>Cooling adequacy number for sustained discharge</t>
  </si>
  <si>
    <t>Adequacy of cooling during sustained discharge</t>
  </si>
  <si>
    <t>Temperature rise during adiabatic pulse, °C</t>
  </si>
  <si>
    <t>Cost of baseline thermal system, $/pack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</si>
  <si>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</si>
  <si>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</si>
  <si>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</si>
  <si>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</si>
  <si>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</si>
  <si>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</si>
  <si>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Reference Tables for Cooling System Design</t>
  </si>
  <si>
    <t>Temperature Ranges for Determining Adequacy of Cooling</t>
  </si>
  <si>
    <t>Adequacy of Cooling</t>
  </si>
  <si>
    <r>
      <t>Max allowable change in temperature (</t>
    </r>
    <r>
      <rPr>
        <b/>
        <sz val="10"/>
        <rFont val="Calibri"/>
        <family val="2"/>
      </rPr>
      <t>°</t>
    </r>
    <r>
      <rPr>
        <b/>
        <sz val="10"/>
        <rFont val="Arial"/>
        <family val="2"/>
      </rPr>
      <t>C) during sustained discharge</t>
    </r>
  </si>
  <si>
    <t>Excellent</t>
  </si>
  <si>
    <t>Good</t>
  </si>
  <si>
    <t>Fair</t>
  </si>
  <si>
    <t>Poor</t>
  </si>
  <si>
    <t>Cooling System Parameters for Use of Vehicle Air Conditioner</t>
  </si>
  <si>
    <t>Cooling</t>
  </si>
  <si>
    <t>Added</t>
  </si>
  <si>
    <t>Performance</t>
  </si>
  <si>
    <t>Capacity, W</t>
  </si>
  <si>
    <t>Mass, kg</t>
  </si>
  <si>
    <t>Volume, L</t>
  </si>
  <si>
    <t>Coefficient</t>
  </si>
  <si>
    <t>Cost, $/pack</t>
  </si>
  <si>
    <t>Refrig 1</t>
  </si>
  <si>
    <t>Refrig 2</t>
  </si>
  <si>
    <t>Refrig 3</t>
  </si>
  <si>
    <t>Refrig 4</t>
  </si>
  <si>
    <t>Data to Meet USABC Guidelines</t>
  </si>
  <si>
    <t>Summary of Battery Parameters (For Reference Below)</t>
  </si>
  <si>
    <t>Number of cells per battery system</t>
  </si>
  <si>
    <t>Number of modules per battery system</t>
  </si>
  <si>
    <t>USABC Parameters</t>
  </si>
  <si>
    <t>Subsystem</t>
  </si>
  <si>
    <t>Contents</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</si>
  <si>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</si>
  <si>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</si>
  <si>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</si>
  <si>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</si>
  <si>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</si>
  <si>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</si>
  <si>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</si>
  <si>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</si>
  <si>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</si>
  <si>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</si>
  <si>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</si>
  <si>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</si>
  <si>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</si>
  <si>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</si>
  <si>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</si>
  <si>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</si>
  <si>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</si>
  <si>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</si>
  <si>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</si>
  <si>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</si>
  <si>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t>
  </si>
  <si>
    <t>Cost, $</t>
  </si>
  <si>
    <t>Chemistry Couple Generator / N:P modifications</t>
  </si>
  <si>
    <t>Step 1: Choose couple and formation information</t>
  </si>
  <si>
    <t>Select Method</t>
  </si>
  <si>
    <t>Create New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</si>
  <si>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</si>
  <si>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</si>
  <si>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</si>
  <si>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</si>
  <si>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</si>
  <si>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</si>
  <si>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</si>
  <si>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</si>
  <si>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</si>
  <si>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</si>
  <si>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</si>
  <si>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</si>
  <si>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</si>
  <si>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</si>
  <si>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</si>
  <si>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</si>
  <si>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</si>
  <si>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</si>
  <si>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</si>
  <si>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</si>
  <si>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</si>
  <si>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</si>
  <si>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</si>
  <si>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</si>
  <si>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</si>
  <si>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</si>
  <si>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</si>
  <si>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</si>
  <si>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</si>
  <si>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</si>
  <si>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</si>
  <si>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</si>
  <si>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</si>
  <si>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</si>
  <si>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</si>
  <si>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</si>
  <si>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</si>
  <si>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</si>
  <si>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</si>
  <si>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</si>
  <si>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NMC532-G-Add_test</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</si>
  <si>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</si>
  <si>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</si>
  <si>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</si>
  <si>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</si>
  <si>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</si>
  <si>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</si>
  <si>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</si>
  <si>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</si>
  <si>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</si>
  <si>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</si>
  <si>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</si>
  <si>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</si>
  <si>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</si>
  <si>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</si>
  <si>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</si>
  <si>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</si>
  <si>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</si>
  <si>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</si>
  <si>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</si>
  <si>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</si>
  <si>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</si>
  <si>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</si>
  <si>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</si>
  <si>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</si>
  <si>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</si>
  <si>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</si>
  <si>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</si>
  <si>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</si>
  <si>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</si>
  <si>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</si>
  <si>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</si>
  <si>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</si>
  <si>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</si>
  <si>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</si>
  <si>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</si>
  <si>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</si>
  <si>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</si>
  <si>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</si>
  <si>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</si>
  <si>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</si>
  <si>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</si>
  <si>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</si>
  <si>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</si>
  <si>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</si>
  <si>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</si>
  <si>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</si>
  <si>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</si>
  <si>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</si>
  <si>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</si>
  <si>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</si>
  <si>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</si>
  <si>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</si>
  <si>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</si>
  <si>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</si>
  <si>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</si>
  <si>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</si>
  <si>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</si>
  <si>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</si>
  <si>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</si>
  <si>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</si>
  <si>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</si>
  <si>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</si>
  <si>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</si>
  <si>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</si>
  <si>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</si>
  <si>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</si>
  <si>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</si>
  <si>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</si>
  <si>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</si>
  <si>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</si>
  <si>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</si>
  <si>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</si>
  <si>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</si>
  <si>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</si>
  <si>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</si>
  <si>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</si>
  <si>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</si>
  <si>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</si>
  <si>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</si>
  <si>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</si>
  <si>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</si>
  <si>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</si>
  <si>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</si>
  <si>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</si>
  <si>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</si>
  <si>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</si>
  <si>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</si>
  <si>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</si>
  <si>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</si>
  <si>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</si>
  <si>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</si>
  <si>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</si>
  <si>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</si>
  <si>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</si>
  <si>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</si>
  <si>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</si>
  <si>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Calculator for Cathode Active Material Costs ($/kg)</t>
  </si>
  <si>
    <t>Estimation for manufacturing of cathode active materials at scale</t>
  </si>
  <si>
    <t>Manufacturing costs and precursors assumed from common synthesis routes (other variations may occur)</t>
  </si>
  <si>
    <t>Raw Material Inputs</t>
  </si>
  <si>
    <t>$/kg</t>
  </si>
  <si>
    <t>Precursor</t>
  </si>
  <si>
    <t>Purity</t>
  </si>
  <si>
    <t>precursor</t>
  </si>
  <si>
    <t>metal contained</t>
  </si>
  <si>
    <t>NiSO4*6H2O</t>
  </si>
  <si>
    <t>battery grade, 22.4 wt.% Ni</t>
  </si>
  <si>
    <t>CoSO4*7H2O</t>
  </si>
  <si>
    <t>battery grade, 20.5 wt.% Co</t>
  </si>
  <si>
    <t>MnSO4*H2O</t>
  </si>
  <si>
    <t>battery grade, 32.5 wt.% Mn</t>
  </si>
  <si>
    <t>Al2(SO4)3*16H2O</t>
  </si>
  <si>
    <t>8.6 wt% Al</t>
  </si>
  <si>
    <t>FePO4*2H2O</t>
  </si>
  <si>
    <t>battery grade, 29.9 wt.% Fe</t>
  </si>
  <si>
    <t>MnO2</t>
  </si>
  <si>
    <t>77.4 wt% Mn</t>
  </si>
  <si>
    <t>Li2CO3</t>
  </si>
  <si>
    <t>battery grade, 99.5% Li2CO3</t>
  </si>
  <si>
    <t>industrial grade, 99% Li2CO3</t>
  </si>
  <si>
    <t>LiOH*H2O</t>
  </si>
  <si>
    <t>battery grade, 57.0% LiOH</t>
  </si>
  <si>
    <t>Percent error on raw materials' costs, ±%</t>
  </si>
  <si>
    <t>Production Scale, GWh/yr</t>
  </si>
  <si>
    <t>Production P-factor</t>
  </si>
  <si>
    <t>Cathode Active Material Calculation</t>
  </si>
  <si>
    <t>mol of Precursor per mol of CAM</t>
  </si>
  <si>
    <t>Li2CO3 (battery grade)</t>
  </si>
  <si>
    <t>Li2CO3 (industrial)</t>
  </si>
  <si>
    <t>kg of Precursor per mol of CAM</t>
  </si>
  <si>
    <t>CAM Cost ($/kg of CAM)</t>
  </si>
  <si>
    <t>Total raw materials</t>
  </si>
  <si>
    <t>Manufacturing Costs ($/kg of CAM)</t>
  </si>
  <si>
    <t>Manufacturing base (1 GWh/yr), $/kg</t>
  </si>
  <si>
    <t>Manufacturing error, ±$/kg</t>
  </si>
  <si>
    <t>Manufacturing cost (scaled), $/kg</t>
  </si>
  <si>
    <t>Margin (default = 5%), %</t>
  </si>
  <si>
    <t>Margin Cost, $/kg</t>
  </si>
  <si>
    <t>Total Costs ($/kg of CAM)</t>
  </si>
  <si>
    <t>Total Cost, $/kg</t>
  </si>
  <si>
    <t>Error, ±$/kg</t>
  </si>
  <si>
    <t>Total (high), $/kg</t>
  </si>
  <si>
    <t>Total (low), $/kg</t>
  </si>
  <si>
    <t>Properties Used in Calculation</t>
  </si>
  <si>
    <t>CAM Molar Mass</t>
  </si>
  <si>
    <t>g/mol</t>
  </si>
  <si>
    <t>kg/mol</t>
  </si>
  <si>
    <t>Precursor and Molecule Molar Mass</t>
  </si>
  <si>
    <t>H2O</t>
  </si>
  <si>
    <t>SO4</t>
  </si>
  <si>
    <t>PO4</t>
  </si>
  <si>
    <t>CO3</t>
  </si>
  <si>
    <t>OH</t>
  </si>
  <si>
    <t>O2</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</si>
  <si>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</si>
  <si>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</si>
  <si>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</si>
  <si>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</si>
  <si>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</si>
  <si>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</si>
  <si>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</si>
  <si>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</si>
  <si>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</si>
  <si>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</si>
  <si>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</si>
  <si>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Current Iteration</t>
  </si>
  <si>
    <t>Approx a 12V battery with varying power to energy ratios</t>
  </si>
  <si>
    <t>Identical, standard pack across the board</t>
  </si>
  <si>
    <t>Dashboard Row</t>
  </si>
  <si>
    <t>Target Pack Power, kW</t>
  </si>
  <si>
    <t>Pack capacity (Ah)</t>
  </si>
  <si>
    <t>Pack energy (kWh)</t>
  </si>
  <si>
    <t>Approx a 48V battery with varying power to energy ratios</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</si>
  <si>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</si>
  <si>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</si>
  <si>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</si>
  <si>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</si>
  <si>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</si>
  <si>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</si>
  <si>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</si>
  <si>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</si>
  <si>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</si>
  <si>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</si>
  <si>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</si>
  <si>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Default/Max Cell Thickness</t>
  </si>
  <si>
    <t>Default/Min L:W ratio</t>
  </si>
  <si>
    <t>Cell factor (0: Default, 1: Adjust cell size with min/max, see above)</t>
  </si>
  <si>
    <t>Default time for power pulses</t>
  </si>
  <si>
    <t>SOC for full power</t>
  </si>
  <si>
    <t>SOC at average operation</t>
  </si>
  <si>
    <t>Upper SOC Limit</t>
  </si>
  <si>
    <t>Lower SOC Limit</t>
  </si>
  <si>
    <t>% of SOC above lower SOC for reserve safety limit</t>
  </si>
  <si>
    <t>Allow for charging considerations</t>
  </si>
  <si>
    <t>Ideal chemistry couple</t>
  </si>
  <si>
    <t>Either</t>
  </si>
  <si>
    <t>Additional for multiple packs, $/additional pack</t>
  </si>
  <si>
    <t>BMS Considerations</t>
  </si>
  <si>
    <t>Add Charger Fuse</t>
  </si>
  <si>
    <t>Add Main Contactor</t>
  </si>
  <si>
    <t>Thermal Considerations</t>
  </si>
  <si>
    <t>Require refridge 4 system when fast charge is enabled</t>
  </si>
  <si>
    <t>Size cooling system from sustained speed</t>
  </si>
  <si>
    <t>Maximum sustained vehicle speed at maximum cell temperature</t>
  </si>
  <si>
    <t>Default thickness of aluminum conductors, cm</t>
  </si>
  <si>
    <t xml:space="preserve">This sheet provides the series of lists that are in the document and where they are pulled from. </t>
  </si>
  <si>
    <t># of Chemistries in Library</t>
  </si>
  <si>
    <t xml:space="preserve">Negative </t>
  </si>
  <si>
    <t>Voltage</t>
  </si>
  <si>
    <t>List of Chemistries Couples in Library</t>
  </si>
  <si>
    <t>Col Val</t>
  </si>
  <si>
    <t>Capacity, mAh/g</t>
  </si>
  <si>
    <t>Cost, $/kg</t>
  </si>
  <si>
    <t>50% SOC</t>
  </si>
  <si>
    <t>Coolant Type</t>
  </si>
  <si>
    <t>Foil</t>
  </si>
  <si>
    <t>Column1</t>
  </si>
  <si>
    <t>microHEV</t>
  </si>
  <si>
    <t>EG-W</t>
  </si>
  <si>
    <t>CA</t>
  </si>
  <si>
    <t>CoolA</t>
  </si>
  <si>
    <t>Fast Charge?</t>
  </si>
  <si>
    <t>Solvent</t>
  </si>
  <si>
    <t>Column2</t>
  </si>
  <si>
    <t>S</t>
  </si>
  <si>
    <t>Method 2: Purchase land and building for 100% utilization, but only purchase equipment for current production levels</t>
  </si>
  <si>
    <t>Method 3: Purchase land, building, and equipment for full sized plant at 100% utilization</t>
  </si>
  <si>
    <t>multipack configs</t>
  </si>
  <si>
    <t>P</t>
  </si>
  <si>
    <t>SOC range</t>
  </si>
  <si>
    <t>SOC index</t>
  </si>
  <si>
    <t>95%G/5%Si</t>
  </si>
  <si>
    <t>90%G/10%Si</t>
  </si>
  <si>
    <t>85%G/15%Si</t>
  </si>
  <si>
    <t>80%G/20%Si</t>
  </si>
  <si>
    <t>Full Name</t>
  </si>
  <si>
    <t xml:space="preserve">Li(Ni1/3Mn1/3Co1/3)O2 </t>
  </si>
  <si>
    <t>Li(Ni0.5Mn0.3Co0.2)O2</t>
  </si>
  <si>
    <t>Li(Ni0.6Mn0.2Co0.2)O2</t>
  </si>
  <si>
    <t>Li(Ni0.8Mn0.1Co0.1)O2</t>
  </si>
  <si>
    <t>LiNi0.80Co0.15Al0.05O2-Graphite</t>
  </si>
  <si>
    <t>LiFePO4</t>
  </si>
  <si>
    <t>Manganese-Spinel</t>
  </si>
  <si>
    <t>Li4Ti5O12</t>
  </si>
  <si>
    <t>Graphite</t>
  </si>
  <si>
    <t>Li(Ni0.95Mn0.025Co0.025)O2</t>
  </si>
  <si>
    <t>Positive/Negative</t>
  </si>
  <si>
    <t>Base Material (Ingot, raw) prices and properties</t>
  </si>
  <si>
    <t>Ingot/baseprice</t>
  </si>
  <si>
    <t>Density (g/cc)</t>
  </si>
  <si>
    <t>MW (g/mol)</t>
  </si>
  <si>
    <t>Actual Capacity mAh/g</t>
  </si>
  <si>
    <t>Theoretical Capacity mAh/g</t>
  </si>
  <si>
    <t>Stainless Steel</t>
  </si>
  <si>
    <t>Polymer/Elastomer</t>
  </si>
  <si>
    <t>x, lithium fraction</t>
  </si>
  <si>
    <t>Voltage (red values are extrapolated)</t>
  </si>
  <si>
    <t>Carbon Fiber (Low Grade)</t>
  </si>
  <si>
    <t>Summary Box (Can be moved/dragged around)</t>
  </si>
  <si>
    <t>Carbon Fiber (High Grade)</t>
  </si>
  <si>
    <t xml:space="preserve"> Battery 4</t>
  </si>
  <si>
    <t>Purchased Mateials Costs, Detailed Braekdown</t>
  </si>
  <si>
    <t>Part</t>
  </si>
  <si>
    <t>MaterialNumber</t>
  </si>
  <si>
    <t>Cost per Mass, $/kg</t>
  </si>
  <si>
    <t>Ingot</t>
  </si>
  <si>
    <t>Form Factor</t>
  </si>
  <si>
    <t>per Item, $</t>
  </si>
  <si>
    <t>Total, $</t>
  </si>
  <si>
    <t>Positive terminal (Al)</t>
  </si>
  <si>
    <t>Negative terminal (Cu)</t>
  </si>
  <si>
    <t>Heat conductor (Al)</t>
  </si>
  <si>
    <t>*Scale exponent for "plus cost" (p)</t>
  </si>
  <si>
    <t>Module management system (MMS)</t>
  </si>
  <si>
    <t>Fabrication Cost</t>
  </si>
  <si>
    <t>per Mass, $/kg</t>
  </si>
  <si>
    <t>Plus per Item, $</t>
  </si>
  <si>
    <t>Cell interconnect (Cu)</t>
  </si>
  <si>
    <t xml:space="preserve"> </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</si>
  <si>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</si>
  <si>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</si>
  <si>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</si>
  <si>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</si>
  <si>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</si>
  <si>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</si>
  <si>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</si>
  <si>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Elastomer</t>
  </si>
  <si>
    <t>Cooling panels, S.S.</t>
  </si>
  <si>
    <r>
      <t>Pack jack insulation, $/m</t>
    </r>
    <r>
      <rPr>
        <vertAlign val="superscript"/>
        <sz val="10"/>
        <rFont val="Arial"/>
        <family val="2"/>
      </rPr>
      <t>2</t>
    </r>
  </si>
  <si>
    <t>Battery  Pack Integration System</t>
  </si>
  <si>
    <t>MicroHEV</t>
  </si>
  <si>
    <t>PHEV and EV</t>
  </si>
  <si>
    <t>Atom</t>
  </si>
  <si>
    <t>Atomic MW</t>
  </si>
  <si>
    <t>Moles per Mole of Active Material</t>
  </si>
  <si>
    <t>Current and voltage sensing, $</t>
  </si>
  <si>
    <t>Li</t>
  </si>
  <si>
    <t>Module controls, $/module</t>
  </si>
  <si>
    <t>Auto. battery disconnect, $</t>
  </si>
  <si>
    <t>Mn</t>
  </si>
  <si>
    <t>Manual disconnect per pack, $</t>
  </si>
  <si>
    <t>Additional for parallel modules and packs, $ per string</t>
  </si>
  <si>
    <t>Thermal Controls</t>
  </si>
  <si>
    <t>Fe</t>
  </si>
  <si>
    <t>and EV</t>
  </si>
  <si>
    <t>Thermal system*, $</t>
  </si>
  <si>
    <t>Ti</t>
  </si>
  <si>
    <t>Additions to AC system**, $/kW</t>
  </si>
  <si>
    <t>O</t>
  </si>
  <si>
    <t>Heating system**, $/kW/pack</t>
  </si>
  <si>
    <t>**No charge for cabin air cooling</t>
  </si>
  <si>
    <t>V</t>
  </si>
  <si>
    <t>Pack Support Frame</t>
  </si>
  <si>
    <t>Warnings and Errors</t>
  </si>
  <si>
    <t>Size</t>
  </si>
  <si>
    <t>Estimated Pack Volume, L</t>
  </si>
  <si>
    <t>H, mm</t>
  </si>
  <si>
    <t>L, mm</t>
  </si>
  <si>
    <t>T, mm</t>
  </si>
  <si>
    <t>V/L, mm^3/mm</t>
  </si>
  <si>
    <t>Error</t>
  </si>
  <si>
    <t>30 x 30 x 3</t>
  </si>
  <si>
    <t>40 x 40 x 4</t>
  </si>
  <si>
    <t>Percent Silicon</t>
  </si>
  <si>
    <t>Solvent Properties</t>
  </si>
  <si>
    <t>Applied modifier</t>
  </si>
  <si>
    <t>Drying Energy</t>
  </si>
  <si>
    <t>Anode Name</t>
  </si>
  <si>
    <t>75%G/25%Si</t>
  </si>
  <si>
    <t>70%G/30%Si</t>
  </si>
  <si>
    <t>65%G/35%Si</t>
  </si>
  <si>
    <t>g/cm^3</t>
  </si>
  <si>
    <t>kWh/kg</t>
  </si>
  <si>
    <t>Pack Manufacturing Strategy</t>
  </si>
  <si>
    <t>Selected Value</t>
  </si>
  <si>
    <t>Purchase Cells</t>
  </si>
  <si>
    <t>Method 2: Packs are produced at a LOWER rate (GWh/year) than cells</t>
  </si>
  <si>
    <t>Method 3: Packs are produced using cells PURCHASED from a supplier (pack and cells rates can vary)</t>
  </si>
  <si>
    <t>Pack Cost Options</t>
  </si>
  <si>
    <t>Pack Profits</t>
  </si>
  <si>
    <t>Pack Warranty</t>
  </si>
  <si>
    <t>List of Variables</t>
  </si>
  <si>
    <t>Cost to build - excludes pack profit/warranty</t>
  </si>
  <si>
    <t>Abreviation</t>
  </si>
  <si>
    <t>Units</t>
  </si>
  <si>
    <t>Boltzmann constant</t>
  </si>
  <si>
    <t>k_b</t>
  </si>
  <si>
    <t>J/K</t>
  </si>
  <si>
    <t>Avogadro constant</t>
  </si>
  <si>
    <t>N_a</t>
  </si>
  <si>
    <t>mol -1</t>
  </si>
  <si>
    <t>Gas Constant</t>
  </si>
  <si>
    <t>R</t>
  </si>
  <si>
    <t>J/(mol K)</t>
  </si>
  <si>
    <t>Density of Al</t>
  </si>
  <si>
    <t>rho_Al</t>
  </si>
  <si>
    <t>Density of Cu</t>
  </si>
  <si>
    <t>rho_Cu</t>
  </si>
  <si>
    <t>Density of PP</t>
  </si>
  <si>
    <t>rho_PP</t>
  </si>
  <si>
    <t>Density of PET</t>
  </si>
  <si>
    <t>rho_PET</t>
  </si>
  <si>
    <t>Heat Capacity of Cu</t>
  </si>
  <si>
    <t>Cp_Cu</t>
  </si>
  <si>
    <t>J/(g K)</t>
  </si>
  <si>
    <t>Heat Capacity of Al</t>
  </si>
  <si>
    <t>Cp_Al</t>
  </si>
  <si>
    <t>Density of PE</t>
  </si>
  <si>
    <t>rho_PE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</si>
  <si>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</si>
  <si>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</si>
  <si>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</si>
  <si>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</si>
  <si>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</si>
  <si>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</si>
  <si>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</si>
  <si>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</si>
  <si>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</si>
  <si>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</si>
  <si>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</si>
  <si>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</si>
  <si>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multiplied to thickness</t>
  </si>
  <si>
    <t>Examination of the different thickness limitations that could be placed on the electrodes</t>
  </si>
  <si>
    <t>Expected temperature rise</t>
  </si>
  <si>
    <t xml:space="preserve">Equivalent packs </t>
  </si>
  <si>
    <t>Investment Costs for Module-Level Additions</t>
  </si>
  <si>
    <t>Cost of Cells</t>
  </si>
  <si>
    <t>Cost of Pack-Level Additions (Excludes Cell &amp; Module Costs)</t>
  </si>
  <si>
    <t>Cost of Module-Level Additions (Excludes Cost of Non-Purchased Cells)</t>
  </si>
  <si>
    <t>Investment Costs for Pack-Level Additions</t>
  </si>
  <si>
    <t>Cost of Pack-Level Additions, $/pack</t>
  </si>
  <si>
    <t>Cost of Module-Level Additions, $/module</t>
  </si>
  <si>
    <t>Steel in support frame, kg/pk</t>
  </si>
  <si>
    <t>Stainless steel in module encolsures, kg/pk</t>
  </si>
  <si>
    <r>
      <t>Positive current collector, m</t>
    </r>
    <r>
      <rPr>
        <sz val="10"/>
        <rFont val="Calibri"/>
        <family val="2"/>
      </rPr>
      <t>²</t>
    </r>
    <r>
      <rPr>
        <sz val="10"/>
        <rFont val="Arial"/>
        <family val="2"/>
      </rPr>
      <t>/cell</t>
    </r>
  </si>
  <si>
    <r>
      <t>Negative current collector, m</t>
    </r>
    <r>
      <rPr>
        <sz val="10"/>
        <rFont val="Calibri"/>
        <family val="2"/>
      </rPr>
      <t>²</t>
    </r>
    <r>
      <rPr>
        <sz val="10"/>
        <rFont val="Arial"/>
        <family val="2"/>
      </rPr>
      <t>/cell</t>
    </r>
  </si>
  <si>
    <r>
      <t>Separators, m</t>
    </r>
    <r>
      <rPr>
        <sz val="10"/>
        <rFont val="Calibri"/>
        <family val="2"/>
      </rPr>
      <t>²</t>
    </r>
    <r>
      <rPr>
        <sz val="10"/>
        <rFont val="Arial"/>
        <family val="2"/>
      </rPr>
      <t>/cell</t>
    </r>
  </si>
  <si>
    <t>Electrolyte, L/cell</t>
  </si>
  <si>
    <r>
      <t>Positive current collector, m</t>
    </r>
    <r>
      <rPr>
        <sz val="10"/>
        <rFont val="Calibri"/>
        <family val="2"/>
      </rPr>
      <t>²</t>
    </r>
    <r>
      <rPr>
        <sz val="10"/>
        <rFont val="Arial"/>
        <family val="2"/>
      </rPr>
      <t>/yr</t>
    </r>
  </si>
  <si>
    <r>
      <t>Negative current collector, m</t>
    </r>
    <r>
      <rPr>
        <sz val="10"/>
        <rFont val="Calibri"/>
        <family val="2"/>
      </rPr>
      <t>²</t>
    </r>
    <r>
      <rPr>
        <sz val="10"/>
        <rFont val="Arial"/>
        <family val="2"/>
      </rPr>
      <t>/yr</t>
    </r>
  </si>
  <si>
    <r>
      <t>Separators, m</t>
    </r>
    <r>
      <rPr>
        <sz val="10"/>
        <rFont val="Calibri"/>
        <family val="2"/>
      </rPr>
      <t>²</t>
    </r>
    <r>
      <rPr>
        <sz val="10"/>
        <rFont val="Arial"/>
        <family val="2"/>
      </rPr>
      <t>/yr</t>
    </r>
  </si>
  <si>
    <t>Electrolyte, L/yr</t>
  </si>
  <si>
    <t>Positive binder solvent evaporated in dryer, kg/yr</t>
  </si>
  <si>
    <t>Negative binder solvent evaporated in dryer, kg/yr</t>
  </si>
  <si>
    <t>NMP solvent evaporated in dryer, kg/yr</t>
  </si>
  <si>
    <t>Positive active material, kg/yr</t>
  </si>
  <si>
    <t>Negative active material, kg/yr</t>
  </si>
  <si>
    <t>Li mass in positive active material, g/cell</t>
  </si>
  <si>
    <t>Li mass in negative active material, g/cell</t>
  </si>
  <si>
    <t>Elemental Anaylsis of Electrodes and Electrolyte (Excludes Binder and Conductive Additives)</t>
  </si>
  <si>
    <t>From Elemental Analysis of Electrodes and Electrolyte (Excluding Binder and Conductive Additive)</t>
  </si>
  <si>
    <t xml:space="preserve">    Length to width ratio of the positive electrode override</t>
  </si>
  <si>
    <t>Battery Number</t>
  </si>
  <si>
    <t>Cell plant size, GWh</t>
  </si>
  <si>
    <t>Pack plant size, GWh</t>
  </si>
  <si>
    <t>This tab is still in development. If you found it, congratulations.</t>
  </si>
  <si>
    <t>Positive electrode material, dry (default = 99, 97, 99, 99, -), %</t>
  </si>
  <si>
    <t>Negative electrode material, dry (defulat = 99, 97, 99, 99, -), %</t>
  </si>
  <si>
    <t>Positive current collector foil (default = -, 97, 92, 99, -), %</t>
  </si>
  <si>
    <t>Negative current collector foil (default = -, 97, 92, 99, -), %</t>
  </si>
  <si>
    <t>Separators (default = -, -, -, 99,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</si>
</sst>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_);[Red]\(#,##0.0000\)"/>
    <numFmt numFmtId="180" formatCode="0.0%"/>
    <numFmt numFmtId="181" formatCode="&quot;$&quot;#,##0.00"/>
    <numFmt numFmtId="182" formatCode="&quot;$&quot;#,##0"/>
    <numFmt numFmtId="183" formatCode="_([$$-409]* #,##0_);_([$$-409]* \(#,##0\);_([$$-409]* &quot;-&quot;??_);_(@_)"/>
    <numFmt numFmtId="184" formatCode="_(* #,##0.00000_);_(* \(#,##0.00000\);_(* &quot;-&quot;??_);_(@_)"/>
    <numFmt numFmtId="185" formatCode="0.00000000"/>
    <numFmt numFmtId="186" formatCode="_(&quot;$&quot;* #,##0_);_(&quot;$&quot;* \(#,##0\);_(&quot;$&quot;* &quot;-&quot;??_);_(@_)"/>
    <numFmt numFmtId="187" formatCode="#,##0.0_);\(#,##0.0\)"/>
    <numFmt numFmtId="188" formatCode="_(&quot;$&quot;* #,##0.000_);_(&quot;$&quot;* \(#,##0.000\);_(&quot;$&quot;* &quot;-&quot;??_);_(@_)"/>
    <numFmt numFmtId="189" formatCode="_(&quot;$&quot;* #,##0.0_);_(&quot;$&quot;* \(#,##0.0\);_(&quot;$&quot;* &quot;-&quot;??_);_(@_)"/>
    <numFmt numFmtId="190" formatCode="_(* #,##0.000000000_);_(* \(#,##0.000000000\);_(* &quot;-&quot;??_);_(@_)"/>
  </numFmts>
  <fonts count="114"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b/>
      <sz val="10"/>
      <name val="Calibri"/>
      <family val="2"/>
    </font>
    <font>
      <b/>
      <u/>
      <sz val="10"/>
      <color theme="1"/>
      <name val="Arial"/>
      <family val="2"/>
    </font>
    <font>
      <i/>
      <sz val="12"/>
      <color rgb="FFFF0000"/>
      <name val="Arial"/>
      <family val="2"/>
    </font>
    <font>
      <sz val="16"/>
      <color rgb="FF000000"/>
      <name val="Times New Roman"/>
      <family val="1"/>
    </font>
    <font>
      <sz val="16"/>
      <color rgb="FF000000"/>
      <name val="Arial"/>
      <family val="2"/>
    </font>
    <font>
      <sz val="10"/>
      <color rgb="FF000000"/>
      <name val="Arial"/>
      <family val="2"/>
    </font>
    <font>
      <b/>
      <sz val="14"/>
      <color theme="1"/>
      <name val="Arial"/>
      <family val="2"/>
    </font>
    <font>
      <sz val="9"/>
      <color rgb="FF000000"/>
      <name val="Tahoma"/>
      <family val="2"/>
    </font>
    <font>
      <u/>
      <sz val="9"/>
      <color rgb="FF000000"/>
      <name val="Tahoma"/>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68">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s>
  <cellStyleXfs count="11">
    <xf numFmtId="0" fontId="0" fillId="0" borderId="0"/>
    <xf numFmtId="0" fontId="7" fillId="0" borderId="0" applyNumberForma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31" fillId="6" borderId="0" applyNumberFormat="0" applyBorder="0" applyAlignment="0" applyProtection="0"/>
    <xf numFmtId="0" fontId="33" fillId="0" borderId="0" applyNumberFormat="0" applyFill="0" applyBorder="0" applyAlignment="0" applyProtection="0"/>
    <xf numFmtId="44" fontId="35" fillId="0" borderId="0" applyFont="0" applyFill="0" applyBorder="0" applyAlignment="0" applyProtection="0"/>
    <xf numFmtId="0" fontId="1" fillId="0" borderId="0"/>
  </cellStyleXfs>
  <cellXfs count="1382">
    <xf numFmtId="0" fontId="0" fillId="0" borderId="0" xfId="0"/>
    <xf numFmtId="0" fontId="12" fillId="20" borderId="5" xfId="0" applyFont="1" applyFill="1" applyBorder="1" applyAlignment="1">
      <alignment horizontal="center" vertical="center"/>
    </xf>
    <xf numFmtId="1" fontId="0" fillId="0" borderId="0" xfId="0" applyNumberFormat="1" applyAlignment="1">
      <alignment horizontal="center"/>
    </xf>
    <xf numFmtId="165" fontId="0" fillId="0" borderId="0" xfId="0" applyNumberFormat="1" applyAlignment="1">
      <alignment horizontal="center"/>
    </xf>
    <xf numFmtId="2" fontId="9" fillId="0" borderId="0" xfId="0" applyNumberFormat="1" applyFont="1" applyAlignment="1">
      <alignment horizontal="center"/>
    </xf>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xf numFmtId="0" fontId="3" fillId="0" borderId="0" xfId="0" applyFont="1" applyAlignment="1">
      <alignment horizontal="left"/>
    </xf>
    <xf numFmtId="166" fontId="3" fillId="0" borderId="0" xfId="0" applyNumberFormat="1" applyFont="1" applyAlignment="1">
      <alignment horizontal="center"/>
    </xf>
    <xf numFmtId="1" fontId="3" fillId="0" borderId="0" xfId="0" applyNumberFormat="1" applyFont="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Alignment="1">
      <alignment horizontal="center"/>
    </xf>
    <xf numFmtId="0" fontId="7" fillId="0" borderId="0" xfId="0" applyFont="1" applyAlignment="1">
      <alignment horizontal="left"/>
    </xf>
    <xf numFmtId="2" fontId="9" fillId="0" borderId="0" xfId="0" applyNumberFormat="1" applyFont="1" applyAlignment="1">
      <alignment horizontal="left"/>
    </xf>
    <xf numFmtId="43" fontId="0" fillId="0" borderId="0" xfId="2" applyFont="1"/>
    <xf numFmtId="43" fontId="0" fillId="0" borderId="0" xfId="2" applyFont="1" applyAlignment="1">
      <alignment horizontal="center"/>
    </xf>
    <xf numFmtId="43" fontId="0" fillId="0" borderId="0" xfId="0" applyNumberFormat="1"/>
    <xf numFmtId="43" fontId="3" fillId="0" borderId="0" xfId="2" applyFont="1" applyBorder="1" applyAlignment="1">
      <alignment horizontal="left"/>
    </xf>
    <xf numFmtId="43" fontId="3" fillId="0" borderId="0" xfId="0" applyNumberFormat="1" applyFont="1" applyAlignment="1">
      <alignment horizontal="left"/>
    </xf>
    <xf numFmtId="2" fontId="3" fillId="0" borderId="0" xfId="0" applyNumberFormat="1" applyFont="1" applyAlignment="1">
      <alignment horizontal="left"/>
    </xf>
    <xf numFmtId="171" fontId="0" fillId="0" borderId="0" xfId="2" applyNumberFormat="1" applyFont="1"/>
    <xf numFmtId="0" fontId="7" fillId="0" borderId="1" xfId="0" applyFont="1" applyBorder="1"/>
    <xf numFmtId="0" fontId="7" fillId="0" borderId="0" xfId="0" applyFont="1"/>
    <xf numFmtId="0" fontId="10" fillId="0" borderId="0" xfId="0" applyFont="1" applyAlignment="1">
      <alignment horizontal="center"/>
    </xf>
    <xf numFmtId="166" fontId="0" fillId="0" borderId="0" xfId="0" applyNumberFormat="1" applyAlignment="1">
      <alignment horizontal="center"/>
    </xf>
    <xf numFmtId="170" fontId="7" fillId="0" borderId="0" xfId="2" applyNumberFormat="1" applyFont="1" applyAlignment="1">
      <alignment horizontal="center"/>
    </xf>
    <xf numFmtId="0" fontId="7" fillId="0" borderId="1" xfId="0" applyFont="1" applyBorder="1" applyAlignment="1">
      <alignment horizontal="left"/>
    </xf>
    <xf numFmtId="170" fontId="7" fillId="0" borderId="1" xfId="2" applyNumberFormat="1" applyFont="1" applyBorder="1" applyAlignment="1">
      <alignment horizontal="center"/>
    </xf>
    <xf numFmtId="0" fontId="11" fillId="0" borderId="0" xfId="0" applyFont="1"/>
    <xf numFmtId="166" fontId="0" fillId="0" borderId="0" xfId="0" applyNumberFormat="1"/>
    <xf numFmtId="172" fontId="0" fillId="0" borderId="0" xfId="0" applyNumberFormat="1"/>
    <xf numFmtId="2" fontId="0" fillId="0" borderId="0" xfId="0" applyNumberFormat="1"/>
    <xf numFmtId="170"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0" fontId="0" fillId="0" borderId="3" xfId="0" applyBorder="1"/>
    <xf numFmtId="170" fontId="0" fillId="0" borderId="0" xfId="2" applyNumberFormat="1" applyFont="1"/>
    <xf numFmtId="169" fontId="0" fillId="0" borderId="0" xfId="2" applyNumberFormat="1" applyFont="1" applyAlignment="1">
      <alignment horizontal="right"/>
    </xf>
    <xf numFmtId="170" fontId="0" fillId="0" borderId="0" xfId="2" applyNumberFormat="1" applyFont="1" applyAlignment="1">
      <alignment horizontal="right"/>
    </xf>
    <xf numFmtId="169" fontId="0" fillId="0" borderId="0" xfId="0" applyNumberFormat="1"/>
    <xf numFmtId="0" fontId="0" fillId="0" borderId="0" xfId="0" applyAlignment="1">
      <alignment horizontal="center"/>
    </xf>
    <xf numFmtId="0" fontId="3" fillId="0" borderId="0" xfId="0" applyFont="1" applyAlignment="1">
      <alignment horizontal="center"/>
    </xf>
    <xf numFmtId="165" fontId="0" fillId="0" borderId="0" xfId="0" applyNumberFormat="1"/>
    <xf numFmtId="1" fontId="7" fillId="0" borderId="0" xfId="0" applyNumberFormat="1" applyFont="1" applyAlignment="1">
      <alignment horizontal="center"/>
    </xf>
    <xf numFmtId="0" fontId="0" fillId="0" borderId="2" xfId="0" applyBorder="1"/>
    <xf numFmtId="0" fontId="4" fillId="0" borderId="0" xfId="0" applyFont="1" applyAlignment="1">
      <alignment horizontal="right"/>
    </xf>
    <xf numFmtId="1" fontId="13" fillId="0" borderId="0" xfId="0" applyNumberFormat="1" applyFont="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68" fontId="0" fillId="0" borderId="0" xfId="0" applyNumberFormat="1" applyAlignment="1">
      <alignment horizontal="center"/>
    </xf>
    <xf numFmtId="38" fontId="13" fillId="0" borderId="0" xfId="2" applyNumberFormat="1" applyFont="1" applyAlignment="1">
      <alignment horizontal="right"/>
    </xf>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Alignment="1">
      <alignment horizontal="left"/>
    </xf>
    <xf numFmtId="170" fontId="0" fillId="0" borderId="0" xfId="2" applyNumberFormat="1" applyFont="1" applyAlignment="1">
      <alignment horizontal="center"/>
    </xf>
    <xf numFmtId="168" fontId="0" fillId="2" borderId="0" xfId="0" applyNumberFormat="1" applyFill="1" applyAlignment="1">
      <alignment horizontal="center"/>
    </xf>
    <xf numFmtId="165" fontId="3" fillId="0" borderId="0" xfId="0" applyNumberFormat="1" applyFont="1" applyAlignment="1">
      <alignment horizontal="center"/>
    </xf>
    <xf numFmtId="0" fontId="18" fillId="0" borderId="0" xfId="0" applyFont="1"/>
    <xf numFmtId="0" fontId="20" fillId="0" borderId="0" xfId="0" applyFont="1"/>
    <xf numFmtId="0" fontId="0" fillId="0" borderId="0" xfId="0" applyAlignment="1">
      <alignment vertical="center"/>
    </xf>
    <xf numFmtId="0" fontId="13" fillId="0" borderId="0" xfId="0" applyFont="1" applyAlignment="1">
      <alignment horizontal="center"/>
    </xf>
    <xf numFmtId="43" fontId="0" fillId="0" borderId="0" xfId="2" applyFont="1" applyBorder="1" applyAlignment="1">
      <alignment horizontal="center"/>
    </xf>
    <xf numFmtId="0" fontId="0" fillId="5" borderId="0" xfId="0" applyFill="1" applyAlignment="1">
      <alignment horizontal="center"/>
    </xf>
    <xf numFmtId="0" fontId="21" fillId="0" borderId="0" xfId="0" applyFont="1"/>
    <xf numFmtId="0" fontId="0" fillId="5" borderId="0" xfId="0" applyFill="1"/>
    <xf numFmtId="0" fontId="3" fillId="5" borderId="0" xfId="0" applyFont="1" applyFill="1" applyAlignment="1">
      <alignment horizontal="left"/>
    </xf>
    <xf numFmtId="0" fontId="3" fillId="5" borderId="0" xfId="0" applyFont="1" applyFill="1" applyAlignment="1">
      <alignment horizontal="center"/>
    </xf>
    <xf numFmtId="170" fontId="0" fillId="0" borderId="0" xfId="2" applyNumberFormat="1" applyFont="1" applyBorder="1" applyAlignment="1">
      <alignment horizontal="center"/>
    </xf>
    <xf numFmtId="166" fontId="3" fillId="0" borderId="0" xfId="0" applyNumberFormat="1" applyFont="1"/>
    <xf numFmtId="0" fontId="20" fillId="0" borderId="0" xfId="0" applyFont="1" applyAlignment="1">
      <alignment horizontal="right"/>
    </xf>
    <xf numFmtId="0" fontId="18" fillId="0" borderId="0" xfId="0" applyFont="1" applyAlignment="1">
      <alignment horizontal="left"/>
    </xf>
    <xf numFmtId="0" fontId="18" fillId="0" borderId="0" xfId="0" applyFont="1" applyAlignment="1">
      <alignment horizontal="center"/>
    </xf>
    <xf numFmtId="166" fontId="18" fillId="0" borderId="0" xfId="0" applyNumberFormat="1" applyFont="1" applyAlignment="1">
      <alignment horizontal="center"/>
    </xf>
    <xf numFmtId="0" fontId="18" fillId="0" borderId="1" xfId="0" applyFont="1" applyBorder="1" applyAlignment="1">
      <alignment horizontal="center"/>
    </xf>
    <xf numFmtId="170" fontId="18" fillId="0" borderId="0" xfId="2" applyNumberFormat="1" applyFont="1" applyAlignment="1">
      <alignment horizontal="center"/>
    </xf>
    <xf numFmtId="0" fontId="0" fillId="0" borderId="0" xfId="0" applyProtection="1">
      <protection locked="0"/>
    </xf>
    <xf numFmtId="176" fontId="3" fillId="5" borderId="0" xfId="0" applyNumberFormat="1" applyFont="1" applyFill="1" applyAlignment="1">
      <alignment horizontal="center"/>
    </xf>
    <xf numFmtId="0" fontId="24" fillId="0" borderId="0" xfId="0" applyFont="1"/>
    <xf numFmtId="0" fontId="22" fillId="0" borderId="0" xfId="0" applyFont="1"/>
    <xf numFmtId="165" fontId="3" fillId="0" borderId="0" xfId="0" applyNumberFormat="1" applyFont="1"/>
    <xf numFmtId="0" fontId="25" fillId="0" borderId="0" xfId="0" applyFont="1"/>
    <xf numFmtId="1" fontId="0" fillId="5" borderId="0" xfId="0" applyNumberFormat="1" applyFill="1" applyAlignment="1">
      <alignment horizontal="center"/>
    </xf>
    <xf numFmtId="165" fontId="0" fillId="5" borderId="0" xfId="0" applyNumberFormat="1" applyFill="1" applyAlignment="1">
      <alignment horizontal="center"/>
    </xf>
    <xf numFmtId="175" fontId="3" fillId="0" borderId="0" xfId="0" applyNumberFormat="1" applyFont="1" applyAlignment="1">
      <alignment horizontal="center"/>
    </xf>
    <xf numFmtId="166" fontId="3" fillId="0" borderId="0" xfId="2" applyNumberFormat="1" applyFont="1" applyFill="1" applyBorder="1" applyAlignment="1">
      <alignment horizontal="right"/>
    </xf>
    <xf numFmtId="170" fontId="3" fillId="0" borderId="0" xfId="0" applyNumberFormat="1" applyFont="1"/>
    <xf numFmtId="4" fontId="3" fillId="0" borderId="0" xfId="0" applyNumberFormat="1" applyFont="1" applyAlignment="1">
      <alignment horizontal="center"/>
    </xf>
    <xf numFmtId="3" fontId="3" fillId="0" borderId="0" xfId="0" applyNumberFormat="1" applyFont="1" applyAlignment="1">
      <alignment horizontal="center"/>
    </xf>
    <xf numFmtId="43" fontId="3" fillId="0" borderId="0" xfId="2" applyFont="1" applyFill="1" applyBorder="1" applyAlignment="1">
      <alignment horizontal="left"/>
    </xf>
    <xf numFmtId="172" fontId="3" fillId="0" borderId="0" xfId="0" applyNumberFormat="1" applyFont="1" applyAlignment="1">
      <alignment horizontal="left"/>
    </xf>
    <xf numFmtId="169" fontId="3" fillId="0" borderId="0" xfId="0" applyNumberFormat="1" applyFont="1" applyAlignment="1">
      <alignment horizontal="left"/>
    </xf>
    <xf numFmtId="0" fontId="20" fillId="0" borderId="0" xfId="0" applyFont="1" applyAlignment="1">
      <alignment horizontal="center"/>
    </xf>
    <xf numFmtId="166" fontId="3" fillId="0" borderId="0" xfId="2" applyNumberFormat="1" applyFont="1" applyFill="1" applyBorder="1" applyAlignment="1">
      <alignment horizontal="center"/>
    </xf>
    <xf numFmtId="165" fontId="14" fillId="0" borderId="0" xfId="0" applyNumberFormat="1" applyFont="1" applyAlignment="1">
      <alignment horizontal="center"/>
    </xf>
    <xf numFmtId="170" fontId="3" fillId="0" borderId="0" xfId="2" applyNumberFormat="1" applyFont="1" applyBorder="1" applyAlignment="1">
      <alignment horizontal="center"/>
    </xf>
    <xf numFmtId="43"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4" fontId="3" fillId="0" borderId="0" xfId="2" applyNumberFormat="1" applyFont="1"/>
    <xf numFmtId="171"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xf numFmtId="40" fontId="3" fillId="0" borderId="0" xfId="2" applyNumberFormat="1" applyFont="1" applyAlignment="1">
      <alignment horizontal="right"/>
    </xf>
    <xf numFmtId="40" fontId="3" fillId="0" borderId="0" xfId="2" applyNumberFormat="1" applyFont="1" applyAlignment="1">
      <alignment horizontal="center"/>
    </xf>
    <xf numFmtId="43" fontId="3" fillId="0" borderId="0" xfId="2" applyFont="1" applyAlignment="1">
      <alignment horizontal="center"/>
    </xf>
    <xf numFmtId="169" fontId="3" fillId="0" borderId="0" xfId="2" applyNumberFormat="1" applyFont="1" applyBorder="1" applyAlignment="1">
      <alignment horizontal="center"/>
    </xf>
    <xf numFmtId="172" fontId="3" fillId="0" borderId="0" xfId="2" applyNumberFormat="1" applyFont="1" applyBorder="1" applyAlignment="1">
      <alignment horizontal="center"/>
    </xf>
    <xf numFmtId="179" fontId="3" fillId="0" borderId="0" xfId="2" applyNumberFormat="1" applyFont="1" applyAlignment="1">
      <alignment horizontal="right"/>
    </xf>
    <xf numFmtId="173" fontId="3" fillId="0" borderId="0" xfId="2" applyNumberFormat="1" applyFont="1" applyBorder="1" applyAlignment="1">
      <alignment horizontal="center"/>
    </xf>
    <xf numFmtId="172" fontId="3" fillId="0" borderId="0" xfId="0" applyNumberFormat="1" applyFont="1"/>
    <xf numFmtId="170" fontId="3" fillId="0" borderId="0" xfId="2" applyNumberFormat="1" applyFont="1" applyAlignment="1">
      <alignment horizontal="center"/>
    </xf>
    <xf numFmtId="172" fontId="3" fillId="0" borderId="0" xfId="2" applyNumberFormat="1" applyFont="1" applyAlignment="1">
      <alignment horizontal="center"/>
    </xf>
    <xf numFmtId="0" fontId="4" fillId="0" borderId="0" xfId="0" applyFont="1" applyAlignment="1">
      <alignment horizontal="center"/>
    </xf>
    <xf numFmtId="2" fontId="22" fillId="0" borderId="0" xfId="0" applyNumberFormat="1" applyFont="1" applyAlignment="1">
      <alignment horizontal="center"/>
    </xf>
    <xf numFmtId="170" fontId="3" fillId="0" borderId="0" xfId="2" applyNumberFormat="1" applyFont="1" applyFill="1" applyBorder="1" applyAlignment="1">
      <alignment horizontal="center"/>
    </xf>
    <xf numFmtId="0" fontId="12" fillId="0" borderId="0" xfId="0" applyFont="1"/>
    <xf numFmtId="43" fontId="3" fillId="0" borderId="0" xfId="0" applyNumberFormat="1" applyFont="1"/>
    <xf numFmtId="170" fontId="3" fillId="0" borderId="0" xfId="2" applyNumberFormat="1" applyFont="1" applyBorder="1" applyAlignment="1">
      <alignment horizontal="left"/>
    </xf>
    <xf numFmtId="38" fontId="3" fillId="0" borderId="0" xfId="2" applyNumberFormat="1" applyFont="1" applyBorder="1" applyAlignment="1">
      <alignment horizontal="center"/>
    </xf>
    <xf numFmtId="170" fontId="3" fillId="0" borderId="1" xfId="0" applyNumberFormat="1" applyFont="1" applyBorder="1"/>
    <xf numFmtId="2" fontId="20" fillId="0" borderId="0" xfId="0" applyNumberFormat="1" applyFont="1" applyAlignment="1">
      <alignment horizontal="center"/>
    </xf>
    <xf numFmtId="167" fontId="20" fillId="0" borderId="0" xfId="0" applyNumberFormat="1" applyFont="1" applyAlignment="1">
      <alignment horizontal="left"/>
    </xf>
    <xf numFmtId="0" fontId="3" fillId="0" borderId="0" xfId="0" applyFont="1" applyAlignment="1">
      <alignment horizontal="right"/>
    </xf>
    <xf numFmtId="170" fontId="3" fillId="0" borderId="0" xfId="2" applyNumberFormat="1" applyFont="1" applyFill="1" applyBorder="1"/>
    <xf numFmtId="0" fontId="13" fillId="0" borderId="0" xfId="0" applyFont="1" applyAlignment="1">
      <alignment horizontal="right"/>
    </xf>
    <xf numFmtId="165" fontId="12" fillId="0" borderId="0" xfId="0" applyNumberFormat="1" applyFont="1" applyAlignment="1">
      <alignment horizontal="center"/>
    </xf>
    <xf numFmtId="166" fontId="4" fillId="0" borderId="0" xfId="2" applyNumberFormat="1" applyFont="1" applyFill="1" applyAlignment="1">
      <alignment horizontal="center"/>
    </xf>
    <xf numFmtId="170"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174" fontId="0" fillId="0" borderId="0" xfId="0" applyNumberFormat="1"/>
    <xf numFmtId="38" fontId="3" fillId="5" borderId="0" xfId="2" applyNumberFormat="1" applyFont="1" applyFill="1" applyBorder="1" applyAlignment="1">
      <alignment horizontal="right"/>
    </xf>
    <xf numFmtId="38" fontId="3" fillId="5" borderId="0" xfId="2" applyNumberFormat="1" applyFont="1" applyFill="1" applyAlignment="1">
      <alignment horizontal="right"/>
    </xf>
    <xf numFmtId="170" fontId="7" fillId="0" borderId="0" xfId="2" applyNumberFormat="1" applyFont="1" applyFill="1"/>
    <xf numFmtId="170" fontId="3" fillId="0" borderId="0" xfId="2" applyNumberFormat="1" applyFont="1"/>
    <xf numFmtId="37" fontId="3" fillId="0" borderId="0" xfId="2" applyNumberFormat="1" applyFont="1" applyFill="1" applyAlignment="1">
      <alignment horizontal="center"/>
    </xf>
    <xf numFmtId="170" fontId="7" fillId="0" borderId="0" xfId="2" applyNumberFormat="1" applyFont="1" applyFill="1" applyBorder="1"/>
    <xf numFmtId="165" fontId="22" fillId="0" borderId="0" xfId="0" applyNumberFormat="1" applyFont="1" applyAlignment="1">
      <alignment horizontal="center"/>
    </xf>
    <xf numFmtId="165"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0" fontId="3" fillId="0" borderId="0" xfId="2" applyNumberFormat="1" applyFont="1" applyFill="1" applyBorder="1" applyAlignment="1">
      <alignment horizontal="right"/>
    </xf>
    <xf numFmtId="169" fontId="3" fillId="0" borderId="0" xfId="2" applyNumberFormat="1" applyFont="1" applyFill="1" applyBorder="1" applyAlignment="1">
      <alignment horizontal="right"/>
    </xf>
    <xf numFmtId="165" fontId="20" fillId="0" borderId="0" xfId="0" applyNumberFormat="1" applyFont="1" applyAlignment="1">
      <alignment horizontal="left"/>
    </xf>
    <xf numFmtId="175" fontId="20" fillId="0" borderId="0" xfId="0" applyNumberFormat="1" applyFont="1" applyAlignment="1">
      <alignment horizontal="left"/>
    </xf>
    <xf numFmtId="165" fontId="32" fillId="0" borderId="0" xfId="0" applyNumberFormat="1" applyFont="1" applyAlignment="1">
      <alignment horizontal="center"/>
    </xf>
    <xf numFmtId="1" fontId="32" fillId="0" borderId="0" xfId="0" applyNumberFormat="1" applyFont="1" applyAlignment="1">
      <alignment horizontal="center"/>
    </xf>
    <xf numFmtId="3" fontId="32" fillId="0" borderId="0" xfId="0" applyNumberFormat="1" applyFont="1" applyAlignment="1">
      <alignment horizontal="center"/>
    </xf>
    <xf numFmtId="2" fontId="32" fillId="0" borderId="0" xfId="0" applyNumberFormat="1" applyFont="1" applyAlignment="1">
      <alignment horizontal="center"/>
    </xf>
    <xf numFmtId="0" fontId="32" fillId="0" borderId="0" xfId="0" applyFont="1"/>
    <xf numFmtId="1" fontId="7" fillId="0" borderId="0" xfId="0" applyNumberFormat="1" applyFont="1"/>
    <xf numFmtId="1" fontId="0" fillId="0" borderId="0" xfId="2" applyNumberFormat="1" applyFont="1" applyBorder="1" applyAlignment="1">
      <alignment horizontal="center"/>
    </xf>
    <xf numFmtId="165" fontId="18" fillId="0" borderId="0" xfId="0" applyNumberFormat="1" applyFont="1"/>
    <xf numFmtId="0" fontId="34"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Alignment="1">
      <alignment horizontal="left"/>
    </xf>
    <xf numFmtId="1" fontId="14" fillId="0" borderId="0" xfId="0" applyNumberFormat="1" applyFont="1" applyAlignment="1">
      <alignment horizontal="center"/>
    </xf>
    <xf numFmtId="0" fontId="3" fillId="11" borderId="0" xfId="0" applyFont="1" applyFill="1" applyAlignment="1">
      <alignment horizontal="center"/>
    </xf>
    <xf numFmtId="2" fontId="3" fillId="11" borderId="0" xfId="0" applyNumberFormat="1" applyFont="1" applyFill="1" applyAlignment="1">
      <alignment horizontal="center"/>
    </xf>
    <xf numFmtId="1" fontId="3" fillId="11" borderId="0" xfId="0" applyNumberFormat="1" applyFont="1" applyFill="1" applyAlignment="1">
      <alignment horizontal="center"/>
    </xf>
    <xf numFmtId="2" fontId="3" fillId="11" borderId="0" xfId="3" applyNumberFormat="1" applyFont="1" applyFill="1" applyBorder="1" applyAlignment="1">
      <alignment horizontal="center"/>
    </xf>
    <xf numFmtId="165" fontId="22" fillId="0" borderId="0" xfId="0" applyNumberFormat="1" applyFont="1" applyAlignment="1">
      <alignment horizontal="left"/>
    </xf>
    <xf numFmtId="0" fontId="39" fillId="0" borderId="0" xfId="0" applyFont="1" applyAlignment="1">
      <alignment horizontal="center" wrapText="1"/>
    </xf>
    <xf numFmtId="0" fontId="3" fillId="0" borderId="13" xfId="4" applyBorder="1" applyAlignment="1">
      <alignment wrapText="1"/>
    </xf>
    <xf numFmtId="0" fontId="0" fillId="0" borderId="18" xfId="0" applyBorder="1"/>
    <xf numFmtId="0" fontId="3" fillId="0" borderId="18" xfId="0" applyFont="1" applyBorder="1"/>
    <xf numFmtId="0" fontId="0" fillId="0" borderId="19" xfId="0" applyBorder="1"/>
    <xf numFmtId="0" fontId="0" fillId="0" borderId="21" xfId="0" applyBorder="1"/>
    <xf numFmtId="0" fontId="0" fillId="0" borderId="23" xfId="0" applyBorder="1"/>
    <xf numFmtId="0" fontId="0" fillId="0" borderId="25" xfId="0" applyBorder="1"/>
    <xf numFmtId="0" fontId="0" fillId="0" borderId="26" xfId="0" applyBorder="1"/>
    <xf numFmtId="0" fontId="18" fillId="0" borderId="28" xfId="0" applyFont="1" applyBorder="1"/>
    <xf numFmtId="0" fontId="18" fillId="0" borderId="20" xfId="0" applyFont="1" applyBorder="1"/>
    <xf numFmtId="0" fontId="18" fillId="0" borderId="29" xfId="0" applyFont="1" applyBorder="1"/>
    <xf numFmtId="11" fontId="0" fillId="0" borderId="18" xfId="0" applyNumberFormat="1" applyBorder="1"/>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1" fontId="20" fillId="4" borderId="0" xfId="0" applyNumberFormat="1" applyFont="1" applyFill="1" applyAlignment="1">
      <alignment horizontal="center"/>
    </xf>
    <xf numFmtId="2" fontId="40" fillId="4" borderId="18" xfId="0" applyNumberFormat="1" applyFont="1" applyFill="1" applyBorder="1" applyAlignment="1">
      <alignment horizontal="center"/>
    </xf>
    <xf numFmtId="0" fontId="10" fillId="0" borderId="0" xfId="0" applyFont="1" applyAlignment="1">
      <alignment wrapText="1"/>
    </xf>
    <xf numFmtId="0" fontId="17" fillId="0" borderId="0" xfId="0" applyFont="1" applyAlignment="1">
      <alignment vertical="center"/>
    </xf>
    <xf numFmtId="0" fontId="10" fillId="0" borderId="7" xfId="0" applyFont="1" applyBorder="1"/>
    <xf numFmtId="0" fontId="10" fillId="0" borderId="0" xfId="0" applyFont="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3" xfId="0" applyFont="1" applyBorder="1"/>
    <xf numFmtId="0" fontId="10" fillId="0" borderId="0" xfId="0" applyFont="1" applyAlignment="1">
      <alignment vertical="center" wrapText="1"/>
    </xf>
    <xf numFmtId="0" fontId="36" fillId="0" borderId="8" xfId="0" applyFont="1" applyBorder="1" applyAlignment="1">
      <alignment vertical="center"/>
    </xf>
    <xf numFmtId="0" fontId="10" fillId="0" borderId="6" xfId="0" applyFont="1" applyBorder="1"/>
    <xf numFmtId="0" fontId="10" fillId="0" borderId="4" xfId="0" applyFont="1" applyBorder="1"/>
    <xf numFmtId="0" fontId="47"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6" fillId="0" borderId="0" xfId="0" applyFont="1"/>
    <xf numFmtId="0" fontId="23" fillId="5" borderId="15" xfId="0" applyFont="1" applyFill="1" applyBorder="1"/>
    <xf numFmtId="0" fontId="23" fillId="5" borderId="14" xfId="0" applyFont="1" applyFill="1" applyBorder="1"/>
    <xf numFmtId="0" fontId="46" fillId="3" borderId="37" xfId="0" applyFont="1" applyFill="1" applyBorder="1"/>
    <xf numFmtId="0" fontId="4" fillId="0" borderId="13" xfId="0" applyFont="1" applyBorder="1"/>
    <xf numFmtId="0" fontId="51" fillId="0" borderId="0" xfId="0" applyFont="1"/>
    <xf numFmtId="168" fontId="32" fillId="0" borderId="0" xfId="0" applyNumberFormat="1" applyFont="1" applyAlignment="1">
      <alignment horizontal="center"/>
    </xf>
    <xf numFmtId="0" fontId="38" fillId="0" borderId="0" xfId="0" applyFont="1"/>
    <xf numFmtId="8" fontId="3" fillId="0" borderId="0" xfId="0" applyNumberFormat="1" applyFont="1"/>
    <xf numFmtId="3" fontId="3" fillId="0" borderId="0" xfId="0" applyNumberFormat="1" applyFont="1"/>
    <xf numFmtId="0" fontId="0" fillId="0" borderId="8" xfId="0" applyBorder="1"/>
    <xf numFmtId="0" fontId="0" fillId="0" borderId="9" xfId="0" applyBorder="1"/>
    <xf numFmtId="0" fontId="47" fillId="0" borderId="9" xfId="0" applyFont="1" applyBorder="1"/>
    <xf numFmtId="0" fontId="50" fillId="0" borderId="0" xfId="0" applyFont="1" applyAlignment="1">
      <alignment vertical="center"/>
    </xf>
    <xf numFmtId="3" fontId="46" fillId="0" borderId="0" xfId="2" applyNumberFormat="1" applyFont="1" applyFill="1" applyBorder="1" applyAlignment="1">
      <alignment horizontal="center" vertical="center"/>
    </xf>
    <xf numFmtId="0" fontId="46" fillId="18" borderId="2" xfId="0" applyFont="1" applyFill="1" applyBorder="1"/>
    <xf numFmtId="0" fontId="10" fillId="18" borderId="7" xfId="0" applyFont="1" applyFill="1" applyBorder="1"/>
    <xf numFmtId="0" fontId="46" fillId="19" borderId="3" xfId="0" applyFont="1" applyFill="1" applyBorder="1"/>
    <xf numFmtId="0" fontId="10" fillId="19" borderId="4" xfId="0" applyFont="1" applyFill="1" applyBorder="1"/>
    <xf numFmtId="0" fontId="48" fillId="0" borderId="0" xfId="0" applyFont="1"/>
    <xf numFmtId="4" fontId="46" fillId="0" borderId="0" xfId="0" applyNumberFormat="1" applyFont="1"/>
    <xf numFmtId="0" fontId="0" fillId="0" borderId="7" xfId="0" applyBorder="1"/>
    <xf numFmtId="2" fontId="40" fillId="4" borderId="22" xfId="0" applyNumberFormat="1" applyFont="1" applyFill="1" applyBorder="1" applyAlignment="1">
      <alignment horizontal="center"/>
    </xf>
    <xf numFmtId="0" fontId="0" fillId="0" borderId="6" xfId="0" applyBorder="1"/>
    <xf numFmtId="0" fontId="0" fillId="0" borderId="4" xfId="0" applyBorder="1"/>
    <xf numFmtId="43" fontId="3" fillId="0" borderId="1" xfId="0" applyNumberFormat="1" applyFont="1" applyBorder="1"/>
    <xf numFmtId="0" fontId="7" fillId="0" borderId="0" xfId="0" applyFont="1" applyAlignment="1">
      <alignment horizontal="right"/>
    </xf>
    <xf numFmtId="183" fontId="3" fillId="0" borderId="0" xfId="0" applyNumberFormat="1" applyFont="1" applyAlignment="1">
      <alignment horizontal="right"/>
    </xf>
    <xf numFmtId="0" fontId="42" fillId="0" borderId="0" xfId="0" applyFont="1"/>
    <xf numFmtId="40" fontId="3" fillId="0" borderId="0" xfId="0" applyNumberFormat="1" applyFont="1"/>
    <xf numFmtId="1" fontId="10" fillId="0" borderId="38" xfId="2" applyNumberFormat="1" applyFont="1" applyFill="1" applyBorder="1" applyAlignment="1">
      <alignment horizontal="center" vertical="center"/>
    </xf>
    <xf numFmtId="0" fontId="4" fillId="0" borderId="47" xfId="0" applyFont="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2"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2" fillId="0" borderId="0" xfId="4" applyFont="1"/>
    <xf numFmtId="0" fontId="43" fillId="0" borderId="16" xfId="4" applyFont="1" applyBorder="1"/>
    <xf numFmtId="0" fontId="43" fillId="5" borderId="16" xfId="4" applyFont="1" applyFill="1" applyBorder="1" applyAlignment="1">
      <alignment horizontal="center" vertical="center"/>
    </xf>
    <xf numFmtId="0" fontId="43" fillId="0" borderId="14" xfId="4" applyFont="1" applyBorder="1" applyAlignment="1">
      <alignment horizontal="center"/>
    </xf>
    <xf numFmtId="0" fontId="43" fillId="11" borderId="16" xfId="4" applyFont="1" applyFill="1" applyBorder="1" applyAlignment="1">
      <alignment horizontal="center" vertical="center"/>
    </xf>
    <xf numFmtId="0" fontId="43" fillId="0" borderId="0" xfId="4" applyFont="1" applyAlignment="1">
      <alignment horizontal="center"/>
    </xf>
    <xf numFmtId="0" fontId="43" fillId="0" borderId="13" xfId="4" applyFont="1" applyBorder="1" applyAlignment="1">
      <alignment horizontal="left"/>
    </xf>
    <xf numFmtId="0" fontId="43" fillId="5" borderId="13" xfId="4" applyFont="1" applyFill="1" applyBorder="1"/>
    <xf numFmtId="0" fontId="43" fillId="5" borderId="15" xfId="4" applyFont="1" applyFill="1" applyBorder="1"/>
    <xf numFmtId="0" fontId="43" fillId="5" borderId="14" xfId="4" applyFont="1" applyFill="1" applyBorder="1"/>
    <xf numFmtId="0" fontId="43" fillId="0" borderId="0" xfId="4" applyFont="1"/>
    <xf numFmtId="0" fontId="43" fillId="0" borderId="16" xfId="4" applyFont="1" applyBorder="1" applyAlignment="1">
      <alignment horizontal="left"/>
    </xf>
    <xf numFmtId="0" fontId="43" fillId="0" borderId="16" xfId="4" applyFont="1" applyBorder="1" applyAlignment="1">
      <alignment vertical="center"/>
    </xf>
    <xf numFmtId="0" fontId="43" fillId="0" borderId="0" xfId="4" applyFont="1" applyAlignment="1">
      <alignment horizontal="center" vertical="center" wrapText="1"/>
    </xf>
    <xf numFmtId="0" fontId="18" fillId="0" borderId="0" xfId="4" applyFont="1" applyAlignment="1">
      <alignment horizontal="center"/>
    </xf>
    <xf numFmtId="0" fontId="18" fillId="0" borderId="0" xfId="4" applyFont="1"/>
    <xf numFmtId="0" fontId="52" fillId="0" borderId="0" xfId="4" applyFont="1"/>
    <xf numFmtId="0" fontId="42" fillId="0" borderId="8" xfId="4" applyFont="1" applyBorder="1"/>
    <xf numFmtId="0" fontId="42" fillId="0" borderId="9" xfId="4" applyFont="1" applyBorder="1"/>
    <xf numFmtId="0" fontId="21" fillId="0" borderId="9" xfId="4" applyFont="1" applyBorder="1" applyAlignment="1">
      <alignment horizontal="left"/>
    </xf>
    <xf numFmtId="0" fontId="42" fillId="0" borderId="0" xfId="4" applyFont="1" applyAlignment="1">
      <alignment horizontal="left"/>
    </xf>
    <xf numFmtId="0" fontId="42" fillId="0" borderId="5" xfId="4" applyFont="1" applyBorder="1"/>
    <xf numFmtId="0" fontId="42" fillId="0" borderId="7" xfId="4" applyFont="1" applyBorder="1"/>
    <xf numFmtId="2" fontId="42" fillId="0" borderId="0" xfId="0" applyNumberFormat="1" applyFont="1" applyAlignment="1">
      <alignment horizontal="center"/>
    </xf>
    <xf numFmtId="0" fontId="42" fillId="0" borderId="9" xfId="4" applyFont="1" applyBorder="1" applyAlignment="1">
      <alignment horizontal="left"/>
    </xf>
    <xf numFmtId="0" fontId="42" fillId="0" borderId="8" xfId="4" applyFont="1" applyBorder="1" applyAlignment="1">
      <alignment horizontal="left"/>
    </xf>
    <xf numFmtId="0" fontId="42" fillId="0" borderId="0" xfId="0" applyFont="1" applyAlignment="1">
      <alignment horizontal="center"/>
    </xf>
    <xf numFmtId="0" fontId="45" fillId="0" borderId="8" xfId="4" applyFont="1" applyBorder="1" applyAlignment="1">
      <alignment horizontal="center"/>
    </xf>
    <xf numFmtId="0" fontId="45" fillId="0" borderId="0" xfId="0" applyFont="1" applyAlignment="1">
      <alignment horizontal="right"/>
    </xf>
    <xf numFmtId="0" fontId="42" fillId="0" borderId="6" xfId="4" applyFont="1" applyBorder="1" applyAlignment="1">
      <alignment horizontal="left"/>
    </xf>
    <xf numFmtId="2" fontId="28" fillId="0" borderId="9" xfId="4" applyNumberFormat="1" applyFont="1" applyBorder="1" applyAlignment="1">
      <alignment horizontal="center"/>
    </xf>
    <xf numFmtId="2" fontId="42" fillId="0" borderId="8" xfId="4" applyNumberFormat="1" applyFont="1" applyBorder="1" applyAlignment="1">
      <alignment horizontal="left"/>
    </xf>
    <xf numFmtId="2" fontId="53" fillId="0" borderId="9" xfId="4" applyNumberFormat="1" applyFont="1" applyBorder="1" applyAlignment="1">
      <alignment horizontal="center"/>
    </xf>
    <xf numFmtId="2" fontId="53" fillId="0" borderId="0" xfId="4" applyNumberFormat="1" applyFont="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2" fillId="0" borderId="0" xfId="3" applyNumberFormat="1" applyFont="1" applyFill="1" applyBorder="1" applyAlignment="1">
      <alignment horizontal="center"/>
    </xf>
    <xf numFmtId="1" fontId="42" fillId="0" borderId="9" xfId="3" applyNumberFormat="1" applyFont="1" applyBorder="1" applyAlignment="1">
      <alignment horizontal="right"/>
    </xf>
    <xf numFmtId="1" fontId="42" fillId="0" borderId="0" xfId="3" applyNumberFormat="1" applyFont="1" applyBorder="1" applyAlignment="1">
      <alignment horizontal="right"/>
    </xf>
    <xf numFmtId="0" fontId="21" fillId="0" borderId="9" xfId="4" applyFont="1" applyBorder="1"/>
    <xf numFmtId="3" fontId="42" fillId="0" borderId="0" xfId="0" applyNumberFormat="1" applyFont="1" applyAlignment="1">
      <alignment horizontal="center"/>
    </xf>
    <xf numFmtId="0" fontId="42" fillId="0" borderId="0" xfId="4" applyFont="1" applyAlignment="1">
      <alignment horizontal="center"/>
    </xf>
    <xf numFmtId="0" fontId="18" fillId="0" borderId="9" xfId="4" applyFont="1" applyBorder="1"/>
    <xf numFmtId="0" fontId="43" fillId="0" borderId="8" xfId="4" applyFont="1" applyBorder="1" applyAlignment="1">
      <alignment horizontal="left"/>
    </xf>
    <xf numFmtId="0" fontId="43" fillId="0" borderId="9" xfId="4" applyFont="1" applyBorder="1"/>
    <xf numFmtId="1" fontId="42" fillId="0" borderId="0" xfId="0" applyNumberFormat="1" applyFont="1" applyAlignment="1">
      <alignment horizontal="center"/>
    </xf>
    <xf numFmtId="1" fontId="42" fillId="0" borderId="0" xfId="3" applyNumberFormat="1" applyFont="1" applyBorder="1" applyAlignment="1">
      <alignment horizontal="center"/>
    </xf>
    <xf numFmtId="0" fontId="43" fillId="0" borderId="8" xfId="4" applyFont="1" applyBorder="1"/>
    <xf numFmtId="0" fontId="21" fillId="0" borderId="9" xfId="4" applyFont="1" applyBorder="1" applyAlignment="1">
      <alignment horizontal="center"/>
    </xf>
    <xf numFmtId="167" fontId="42" fillId="0" borderId="0" xfId="0" applyNumberFormat="1" applyFont="1" applyAlignment="1">
      <alignment horizontal="center"/>
    </xf>
    <xf numFmtId="0" fontId="42" fillId="0" borderId="9" xfId="4" applyFont="1" applyBorder="1" applyAlignment="1">
      <alignment horizontal="center"/>
    </xf>
    <xf numFmtId="0" fontId="42" fillId="0" borderId="8" xfId="0" applyFont="1" applyBorder="1"/>
    <xf numFmtId="1" fontId="55" fillId="0" borderId="9" xfId="4" applyNumberFormat="1" applyFont="1" applyBorder="1" applyAlignment="1">
      <alignment horizontal="right"/>
    </xf>
    <xf numFmtId="1" fontId="56" fillId="0" borderId="9" xfId="4" applyNumberFormat="1" applyFont="1" applyBorder="1" applyAlignment="1">
      <alignment horizontal="right"/>
    </xf>
    <xf numFmtId="2" fontId="42" fillId="0" borderId="0" xfId="0" applyNumberFormat="1" applyFont="1"/>
    <xf numFmtId="0" fontId="21" fillId="0" borderId="9" xfId="4" applyFont="1" applyBorder="1" applyAlignment="1">
      <alignment horizontal="right"/>
    </xf>
    <xf numFmtId="0" fontId="42" fillId="0" borderId="9" xfId="4" applyFont="1" applyBorder="1" applyAlignment="1">
      <alignment horizontal="right"/>
    </xf>
    <xf numFmtId="2" fontId="55" fillId="0" borderId="9" xfId="4" applyNumberFormat="1" applyFont="1" applyBorder="1" applyAlignment="1">
      <alignment horizontal="right"/>
    </xf>
    <xf numFmtId="2" fontId="56" fillId="0" borderId="9" xfId="4" applyNumberFormat="1" applyFont="1" applyBorder="1" applyAlignment="1">
      <alignment horizontal="right"/>
    </xf>
    <xf numFmtId="2" fontId="21" fillId="0" borderId="9" xfId="4" applyNumberFormat="1" applyFont="1" applyBorder="1" applyAlignment="1">
      <alignment horizontal="right"/>
    </xf>
    <xf numFmtId="2" fontId="42" fillId="0" borderId="9" xfId="4" applyNumberFormat="1" applyFont="1" applyBorder="1" applyAlignment="1">
      <alignment horizontal="right"/>
    </xf>
    <xf numFmtId="0" fontId="21" fillId="0" borderId="8" xfId="0" applyFont="1" applyBorder="1"/>
    <xf numFmtId="0" fontId="21" fillId="0" borderId="4" xfId="4" applyFont="1" applyBorder="1"/>
    <xf numFmtId="0" fontId="42" fillId="0" borderId="6" xfId="4" applyFont="1" applyBorder="1"/>
    <xf numFmtId="0" fontId="42" fillId="0" borderId="3" xfId="4" applyFont="1" applyBorder="1"/>
    <xf numFmtId="0" fontId="42" fillId="0" borderId="4" xfId="4" applyFont="1" applyBorder="1"/>
    <xf numFmtId="43" fontId="3" fillId="0" borderId="0" xfId="2" applyFont="1" applyFill="1" applyBorder="1" applyAlignment="1">
      <alignment horizontal="center"/>
    </xf>
    <xf numFmtId="1" fontId="3" fillId="0" borderId="0" xfId="3" applyNumberFormat="1" applyFont="1" applyAlignment="1">
      <alignment horizontal="right"/>
    </xf>
    <xf numFmtId="1" fontId="3" fillId="11" borderId="0" xfId="3" applyNumberFormat="1" applyFont="1" applyFill="1" applyAlignment="1">
      <alignment horizontal="center"/>
    </xf>
    <xf numFmtId="43" fontId="3" fillId="0" borderId="0" xfId="2" applyFont="1"/>
    <xf numFmtId="43" fontId="3" fillId="0" borderId="0" xfId="2" applyFont="1" applyFill="1" applyBorder="1"/>
    <xf numFmtId="170" fontId="3" fillId="0" borderId="0" xfId="2" applyNumberFormat="1" applyFont="1" applyFill="1"/>
    <xf numFmtId="1" fontId="3" fillId="0" borderId="0" xfId="0" applyNumberFormat="1" applyFont="1"/>
    <xf numFmtId="165"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5" borderId="0" xfId="0" applyNumberFormat="1" applyFont="1" applyFill="1" applyAlignment="1">
      <alignment horizontal="center"/>
    </xf>
    <xf numFmtId="166" fontId="3" fillId="0" borderId="0" xfId="2" applyNumberFormat="1" applyFont="1" applyAlignment="1">
      <alignment horizontal="center"/>
    </xf>
    <xf numFmtId="164"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77" fontId="3" fillId="0" borderId="0" xfId="0" applyNumberFormat="1" applyFont="1" applyAlignment="1">
      <alignment horizontal="center"/>
    </xf>
    <xf numFmtId="178" fontId="3" fillId="0" borderId="0" xfId="0" applyNumberFormat="1" applyFont="1" applyAlignment="1">
      <alignment horizontal="center"/>
    </xf>
    <xf numFmtId="164" fontId="3" fillId="5" borderId="0" xfId="0" applyNumberFormat="1" applyFont="1" applyFill="1" applyAlignment="1">
      <alignment horizontal="center"/>
    </xf>
    <xf numFmtId="176" fontId="3" fillId="0" borderId="0" xfId="0" applyNumberFormat="1" applyFont="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0" fontId="3" fillId="0" borderId="0" xfId="0" applyFont="1" applyAlignment="1">
      <alignment vertical="center"/>
    </xf>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0" fontId="22" fillId="0" borderId="0" xfId="0" applyNumberFormat="1" applyFont="1"/>
    <xf numFmtId="0" fontId="3" fillId="0" borderId="8" xfId="0" applyFont="1" applyBorder="1" applyAlignment="1">
      <alignment vertical="top"/>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43" fontId="3" fillId="0" borderId="0" xfId="0" applyNumberFormat="1" applyFont="1" applyAlignment="1">
      <alignment horizontal="center"/>
    </xf>
    <xf numFmtId="169" fontId="3" fillId="0" borderId="0" xfId="0" applyNumberFormat="1" applyFont="1" applyAlignment="1">
      <alignment horizontal="center"/>
    </xf>
    <xf numFmtId="0" fontId="3" fillId="0" borderId="0" xfId="0" applyFont="1" applyAlignment="1">
      <alignment horizontal="left" vertical="center"/>
    </xf>
    <xf numFmtId="170" fontId="3" fillId="0" borderId="0" xfId="0" applyNumberFormat="1" applyFont="1" applyAlignment="1">
      <alignment horizontal="center"/>
    </xf>
    <xf numFmtId="37" fontId="3" fillId="5" borderId="0" xfId="0" applyNumberFormat="1" applyFont="1" applyFill="1" applyAlignment="1">
      <alignment horizontal="right"/>
    </xf>
    <xf numFmtId="182"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Font="1" applyFill="1" applyBorder="1" applyAlignment="1">
      <alignment horizontal="center" vertical="center" wrapText="1"/>
    </xf>
    <xf numFmtId="0" fontId="21" fillId="10" borderId="18" xfId="0" applyFont="1" applyFill="1" applyBorder="1" applyAlignment="1">
      <alignment horizontal="left" vertical="center" wrapText="1"/>
    </xf>
    <xf numFmtId="169" fontId="3" fillId="0" borderId="0" xfId="0" applyNumberFormat="1" applyFont="1"/>
    <xf numFmtId="0" fontId="10" fillId="0" borderId="18" xfId="0" applyFont="1" applyBorder="1"/>
    <xf numFmtId="1" fontId="49" fillId="0" borderId="0" xfId="0" applyNumberFormat="1" applyFont="1" applyAlignment="1">
      <alignment horizontal="left"/>
    </xf>
    <xf numFmtId="170" fontId="11" fillId="0" borderId="0" xfId="0" applyNumberFormat="1" applyFont="1"/>
    <xf numFmtId="184" fontId="3" fillId="0" borderId="0" xfId="2" applyNumberFormat="1" applyFont="1" applyBorder="1" applyAlignment="1">
      <alignment horizontal="center"/>
    </xf>
    <xf numFmtId="43" fontId="3" fillId="0" borderId="0" xfId="2" applyFont="1" applyFill="1" applyAlignment="1"/>
    <xf numFmtId="2" fontId="3" fillId="5" borderId="0" xfId="0" applyNumberFormat="1" applyFont="1" applyFill="1" applyAlignment="1">
      <alignment horizontal="center"/>
    </xf>
    <xf numFmtId="167" fontId="3" fillId="0" borderId="0" xfId="0" applyNumberFormat="1" applyFont="1" applyAlignment="1">
      <alignment horizontal="center"/>
    </xf>
    <xf numFmtId="0" fontId="32" fillId="0" borderId="0" xfId="0" applyFont="1" applyAlignment="1">
      <alignment horizontal="center"/>
    </xf>
    <xf numFmtId="167" fontId="3" fillId="0" borderId="0" xfId="0" applyNumberFormat="1" applyFont="1" applyAlignment="1">
      <alignment horizontal="right"/>
    </xf>
    <xf numFmtId="185" fontId="3" fillId="0" borderId="0" xfId="0" applyNumberFormat="1" applyFont="1" applyAlignment="1">
      <alignment horizontal="center"/>
    </xf>
    <xf numFmtId="185" fontId="3" fillId="0" borderId="0" xfId="0" applyNumberFormat="1" applyFont="1"/>
    <xf numFmtId="2" fontId="7" fillId="0" borderId="0" xfId="0" applyNumberFormat="1" applyFont="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2" fillId="5" borderId="0" xfId="0" applyNumberFormat="1" applyFont="1" applyFill="1" applyAlignment="1">
      <alignment horizontal="center"/>
    </xf>
    <xf numFmtId="43"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43" fontId="3" fillId="0" borderId="0" xfId="2" applyFont="1" applyAlignment="1">
      <alignment horizontal="right"/>
    </xf>
    <xf numFmtId="170" fontId="7" fillId="0" borderId="0" xfId="0" applyNumberFormat="1" applyFont="1" applyAlignment="1">
      <alignment horizontal="center"/>
    </xf>
    <xf numFmtId="0" fontId="23" fillId="0" borderId="0" xfId="0" applyFont="1"/>
    <xf numFmtId="0" fontId="23" fillId="0" borderId="0" xfId="0" applyFont="1" applyAlignment="1">
      <alignment horizontal="right"/>
    </xf>
    <xf numFmtId="165"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69" fontId="20" fillId="0" borderId="0" xfId="0" applyNumberFormat="1" applyFont="1"/>
    <xf numFmtId="174" fontId="3" fillId="5" borderId="0" xfId="2" applyNumberFormat="1" applyFont="1" applyFill="1" applyAlignment="1">
      <alignment horizontal="right"/>
    </xf>
    <xf numFmtId="174" fontId="3" fillId="5" borderId="0" xfId="2" applyNumberFormat="1" applyFont="1" applyFill="1" applyBorder="1" applyAlignment="1">
      <alignment horizontal="right"/>
    </xf>
    <xf numFmtId="169" fontId="3" fillId="5" borderId="0" xfId="2" applyNumberFormat="1" applyFont="1" applyFill="1" applyBorder="1" applyAlignment="1">
      <alignment horizontal="center"/>
    </xf>
    <xf numFmtId="170" fontId="3" fillId="0" borderId="0" xfId="2" applyNumberFormat="1" applyFont="1" applyAlignment="1">
      <alignment horizontal="right"/>
    </xf>
    <xf numFmtId="169" fontId="3" fillId="0" borderId="0" xfId="2" applyNumberFormat="1" applyFont="1" applyAlignment="1">
      <alignment horizontal="right"/>
    </xf>
    <xf numFmtId="169" fontId="3" fillId="5" borderId="0" xfId="0" applyNumberFormat="1" applyFont="1" applyFill="1"/>
    <xf numFmtId="170" fontId="3" fillId="5" borderId="0" xfId="0" applyNumberFormat="1" applyFont="1" applyFill="1"/>
    <xf numFmtId="169" fontId="0" fillId="5" borderId="0" xfId="0" applyNumberFormat="1" applyFill="1"/>
    <xf numFmtId="170" fontId="0" fillId="5" borderId="0" xfId="0" applyNumberFormat="1" applyFill="1"/>
    <xf numFmtId="170" fontId="3" fillId="5" borderId="0" xfId="2" applyNumberFormat="1" applyFont="1" applyFill="1" applyAlignment="1">
      <alignment horizontal="right"/>
    </xf>
    <xf numFmtId="169" fontId="3" fillId="5" borderId="0" xfId="2" applyNumberFormat="1" applyFont="1" applyFill="1" applyAlignment="1">
      <alignment horizontal="right"/>
    </xf>
    <xf numFmtId="166" fontId="0" fillId="2" borderId="0" xfId="0" applyNumberFormat="1" applyFill="1" applyAlignment="1">
      <alignment horizontal="center"/>
    </xf>
    <xf numFmtId="2" fontId="15" fillId="0" borderId="0" xfId="0" applyNumberFormat="1" applyFont="1" applyAlignment="1">
      <alignment horizontal="center"/>
    </xf>
    <xf numFmtId="9" fontId="0" fillId="0" borderId="0" xfId="3" applyFont="1"/>
    <xf numFmtId="0" fontId="30" fillId="0" borderId="0" xfId="0" applyFont="1"/>
    <xf numFmtId="44" fontId="3" fillId="0" borderId="0" xfId="5" applyFont="1" applyFill="1"/>
    <xf numFmtId="44" fontId="3" fillId="0" borderId="0" xfId="0" applyNumberFormat="1" applyFont="1"/>
    <xf numFmtId="44" fontId="3" fillId="0" borderId="0" xfId="5" applyFont="1" applyFill="1" applyAlignment="1">
      <alignment horizontal="center"/>
    </xf>
    <xf numFmtId="0" fontId="57" fillId="0" borderId="1" xfId="0" applyFont="1" applyBorder="1" applyAlignment="1">
      <alignment horizontal="right"/>
    </xf>
    <xf numFmtId="2" fontId="3" fillId="0" borderId="0" xfId="5" applyNumberFormat="1" applyFont="1" applyFill="1"/>
    <xf numFmtId="0" fontId="57"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44"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xf numFmtId="0" fontId="18" fillId="20" borderId="14" xfId="4" applyFont="1" applyFill="1" applyBorder="1"/>
    <xf numFmtId="0" fontId="12" fillId="20" borderId="13" xfId="4" applyFont="1" applyFill="1" applyBorder="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8" fillId="11" borderId="20" xfId="4" applyFont="1" applyFill="1" applyBorder="1"/>
    <xf numFmtId="0" fontId="48" fillId="12" borderId="20" xfId="4" applyFont="1" applyFill="1" applyBorder="1"/>
    <xf numFmtId="0" fontId="48" fillId="0" borderId="7" xfId="4" applyFont="1" applyBorder="1"/>
    <xf numFmtId="1" fontId="56" fillId="0" borderId="0" xfId="4" applyNumberFormat="1" applyFont="1" applyAlignment="1">
      <alignment horizontal="right"/>
    </xf>
    <xf numFmtId="0" fontId="42" fillId="0" borderId="0" xfId="4" applyFont="1" applyAlignment="1">
      <alignment horizontal="right"/>
    </xf>
    <xf numFmtId="2" fontId="56" fillId="0" borderId="0" xfId="4" applyNumberFormat="1" applyFont="1" applyAlignment="1">
      <alignment horizontal="right"/>
    </xf>
    <xf numFmtId="2" fontId="42" fillId="0" borderId="0" xfId="4" applyNumberFormat="1" applyFont="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7" fillId="0" borderId="0" xfId="0" applyFont="1" applyAlignment="1">
      <alignment horizontal="center" vertical="center" wrapText="1"/>
    </xf>
    <xf numFmtId="0" fontId="7" fillId="0" borderId="0" xfId="0" applyFont="1" applyAlignment="1">
      <alignment horizontal="center" wrapText="1"/>
    </xf>
    <xf numFmtId="181" fontId="0" fillId="11" borderId="0" xfId="0" applyNumberFormat="1" applyFill="1"/>
    <xf numFmtId="181" fontId="0" fillId="0" borderId="0" xfId="0" applyNumberFormat="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xf numFmtId="0" fontId="4" fillId="0" borderId="8" xfId="0" applyFont="1" applyBorder="1" applyAlignment="1">
      <alignment horizontal="left"/>
    </xf>
    <xf numFmtId="0" fontId="0" fillId="11" borderId="18" xfId="0" applyFill="1" applyBorder="1" applyAlignment="1">
      <alignment horizontal="center"/>
    </xf>
    <xf numFmtId="0" fontId="59" fillId="0" borderId="0" xfId="0" applyFont="1"/>
    <xf numFmtId="0" fontId="60" fillId="0" borderId="0" xfId="0" applyFont="1" applyAlignment="1">
      <alignment horizontal="center"/>
    </xf>
    <xf numFmtId="166" fontId="3" fillId="0" borderId="0" xfId="0" applyNumberFormat="1" applyFont="1" applyAlignment="1">
      <alignment horizontal="center" vertical="center"/>
    </xf>
    <xf numFmtId="166" fontId="32" fillId="0" borderId="0" xfId="0" applyNumberFormat="1" applyFont="1" applyAlignment="1">
      <alignment horizontal="center"/>
    </xf>
    <xf numFmtId="2" fontId="3" fillId="0" borderId="0" xfId="0" applyNumberFormat="1" applyFont="1" applyAlignment="1">
      <alignment horizontal="center" vertical="center"/>
    </xf>
    <xf numFmtId="167" fontId="3" fillId="0" borderId="0" xfId="0" applyNumberFormat="1" applyFont="1" applyAlignment="1">
      <alignment horizontal="center" vertical="center"/>
    </xf>
    <xf numFmtId="0" fontId="18" fillId="0" borderId="8" xfId="0" applyFont="1" applyBorder="1"/>
    <xf numFmtId="0" fontId="48" fillId="0" borderId="9" xfId="0" applyFont="1" applyBorder="1"/>
    <xf numFmtId="0" fontId="10" fillId="11" borderId="16" xfId="0" applyFont="1" applyFill="1" applyBorder="1" applyAlignment="1">
      <alignment horizontal="center"/>
    </xf>
    <xf numFmtId="0" fontId="48" fillId="5" borderId="16" xfId="0" applyFont="1" applyFill="1" applyBorder="1" applyAlignment="1">
      <alignment horizontal="center"/>
    </xf>
    <xf numFmtId="0" fontId="10" fillId="0" borderId="38"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Border="1"/>
    <xf numFmtId="0" fontId="49" fillId="13" borderId="13" xfId="4" applyFont="1" applyFill="1" applyBorder="1" applyAlignment="1">
      <alignment horizontal="center"/>
    </xf>
    <xf numFmtId="0" fontId="3" fillId="0" borderId="2" xfId="4" applyBorder="1"/>
    <xf numFmtId="0" fontId="62" fillId="0" borderId="0" xfId="0" applyFont="1"/>
    <xf numFmtId="0" fontId="62" fillId="0" borderId="0" xfId="0" applyFont="1" applyAlignment="1">
      <alignment horizontal="center"/>
    </xf>
    <xf numFmtId="0" fontId="63" fillId="0" borderId="0" xfId="0" applyFont="1"/>
    <xf numFmtId="0" fontId="64" fillId="0" borderId="0" xfId="0" applyFont="1"/>
    <xf numFmtId="0" fontId="65" fillId="0" borderId="0" xfId="0" applyFont="1"/>
    <xf numFmtId="0" fontId="66" fillId="0" borderId="0" xfId="0" applyFont="1"/>
    <xf numFmtId="3" fontId="3" fillId="0" borderId="0" xfId="2" applyNumberFormat="1" applyFont="1" applyAlignment="1">
      <alignment horizontal="right"/>
    </xf>
    <xf numFmtId="37" fontId="3" fillId="0" borderId="0" xfId="0" applyNumberFormat="1" applyFont="1"/>
    <xf numFmtId="0" fontId="12" fillId="0" borderId="0" xfId="4" applyFont="1" applyAlignment="1">
      <alignment horizontal="center"/>
    </xf>
    <xf numFmtId="1" fontId="3" fillId="0" borderId="0" xfId="2" applyNumberFormat="1" applyFont="1" applyFill="1" applyAlignment="1">
      <alignment horizontal="center"/>
    </xf>
    <xf numFmtId="169" fontId="3" fillId="0" borderId="0" xfId="2" applyNumberFormat="1" applyFont="1" applyFill="1" applyBorder="1" applyAlignment="1"/>
    <xf numFmtId="0" fontId="67" fillId="0" borderId="0" xfId="0" applyFont="1" applyAlignment="1">
      <alignment horizontal="left"/>
    </xf>
    <xf numFmtId="0" fontId="67" fillId="0" borderId="0" xfId="0" applyFont="1"/>
    <xf numFmtId="0" fontId="0" fillId="0" borderId="0" xfId="0" applyAlignment="1">
      <alignment horizontal="center" vertical="center"/>
    </xf>
    <xf numFmtId="0" fontId="0" fillId="0" borderId="0" xfId="0"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8" xfId="0" applyFont="1" applyBorder="1" applyAlignment="1">
      <alignment horizontal="center" vertical="center" wrapText="1"/>
    </xf>
    <xf numFmtId="0" fontId="4" fillId="0" borderId="58" xfId="0" applyFont="1" applyBorder="1" applyAlignment="1">
      <alignment horizontal="center" vertical="center" wrapText="1"/>
    </xf>
    <xf numFmtId="0" fontId="4" fillId="0" borderId="58"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3" xfId="0" applyFont="1" applyBorder="1" applyAlignment="1">
      <alignment horizontal="center"/>
    </xf>
    <xf numFmtId="2" fontId="4" fillId="0" borderId="0" xfId="0" applyNumberFormat="1" applyFont="1" applyAlignment="1">
      <alignment horizontal="center"/>
    </xf>
    <xf numFmtId="0" fontId="3" fillId="0" borderId="41" xfId="0" applyFont="1" applyBorder="1"/>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1" xfId="0" applyBorder="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166" fontId="58" fillId="0" borderId="0" xfId="0" applyNumberFormat="1" applyFont="1"/>
    <xf numFmtId="2" fontId="0" fillId="0" borderId="2" xfId="0" applyNumberFormat="1" applyBorder="1" applyAlignment="1">
      <alignment horizontal="center" vertical="center"/>
    </xf>
    <xf numFmtId="0" fontId="18" fillId="0" borderId="6" xfId="0" applyFont="1" applyBorder="1"/>
    <xf numFmtId="0" fontId="18" fillId="0" borderId="3" xfId="0" applyFont="1" applyBorder="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3" fillId="0" borderId="6" xfId="0" applyFont="1" applyBorder="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xf numFmtId="2" fontId="42" fillId="0" borderId="0" xfId="3" applyNumberFormat="1" applyFont="1" applyFill="1" applyBorder="1" applyAlignment="1">
      <alignment horizontal="center"/>
    </xf>
    <xf numFmtId="166" fontId="42" fillId="0" borderId="0" xfId="4" applyNumberFormat="1" applyFont="1" applyAlignment="1">
      <alignment horizontal="center"/>
    </xf>
    <xf numFmtId="2" fontId="42" fillId="0" borderId="0" xfId="4" applyNumberFormat="1" applyFont="1" applyAlignment="1">
      <alignment horizontal="center"/>
    </xf>
    <xf numFmtId="166" fontId="42" fillId="0" borderId="0" xfId="4" applyNumberFormat="1" applyFont="1"/>
    <xf numFmtId="166" fontId="42" fillId="0" borderId="9" xfId="4" applyNumberFormat="1" applyFont="1" applyBorder="1"/>
    <xf numFmtId="166" fontId="29" fillId="0" borderId="0" xfId="0" applyNumberFormat="1" applyFont="1" applyAlignment="1">
      <alignment horizontal="left"/>
    </xf>
    <xf numFmtId="0" fontId="70" fillId="0" borderId="0" xfId="0" applyFont="1"/>
    <xf numFmtId="170" fontId="18" fillId="0" borderId="0" xfId="2" applyNumberFormat="1" applyFont="1" applyBorder="1" applyAlignment="1">
      <alignment horizontal="center"/>
    </xf>
    <xf numFmtId="0" fontId="71" fillId="0" borderId="0" xfId="0" applyFont="1"/>
    <xf numFmtId="0" fontId="72" fillId="0" borderId="0" xfId="0" applyFont="1"/>
    <xf numFmtId="0" fontId="73" fillId="0" borderId="0" xfId="0" applyFont="1"/>
    <xf numFmtId="0" fontId="74" fillId="0" borderId="0" xfId="0" applyFont="1" applyAlignment="1">
      <alignment horizontal="left"/>
    </xf>
    <xf numFmtId="0" fontId="4" fillId="0" borderId="3" xfId="0" applyFont="1" applyBorder="1" applyAlignment="1">
      <alignment horizontal="center"/>
    </xf>
    <xf numFmtId="0" fontId="12" fillId="0" borderId="0" xfId="0" applyFont="1" applyAlignment="1">
      <alignment horizontal="center"/>
    </xf>
    <xf numFmtId="0" fontId="23" fillId="0" borderId="0" xfId="4" applyFont="1" applyAlignment="1">
      <alignment horizontal="center"/>
    </xf>
    <xf numFmtId="170" fontId="3" fillId="0" borderId="0" xfId="2" applyNumberFormat="1" applyFont="1" applyFill="1" applyAlignment="1">
      <alignment horizontal="right"/>
    </xf>
    <xf numFmtId="38" fontId="3" fillId="0" borderId="0" xfId="2" applyNumberFormat="1" applyFont="1" applyFill="1" applyAlignment="1">
      <alignment horizontal="right"/>
    </xf>
    <xf numFmtId="0" fontId="57" fillId="0" borderId="0" xfId="0" applyFont="1"/>
    <xf numFmtId="0" fontId="67" fillId="0" borderId="1" xfId="0" applyFont="1" applyBorder="1"/>
    <xf numFmtId="44" fontId="3" fillId="0" borderId="0" xfId="0" applyNumberFormat="1" applyFont="1" applyAlignment="1">
      <alignment horizontal="center"/>
    </xf>
    <xf numFmtId="170" fontId="3" fillId="0" borderId="0" xfId="2" applyNumberFormat="1" applyFont="1" applyFill="1" applyBorder="1" applyAlignment="1">
      <alignment horizontal="center" vertical="center"/>
    </xf>
    <xf numFmtId="0" fontId="29" fillId="0" borderId="0" xfId="0" applyFont="1"/>
    <xf numFmtId="165" fontId="7" fillId="0" borderId="0" xfId="4" applyNumberFormat="1" applyFont="1" applyAlignment="1">
      <alignment horizontal="center"/>
    </xf>
    <xf numFmtId="2" fontId="3" fillId="0" borderId="0" xfId="4" applyNumberFormat="1" applyAlignment="1">
      <alignment horizontal="center"/>
    </xf>
    <xf numFmtId="0" fontId="3" fillId="0" borderId="0" xfId="4" applyAlignment="1">
      <alignment horizontal="left"/>
    </xf>
    <xf numFmtId="0" fontId="3" fillId="0" borderId="8" xfId="4" applyBorder="1"/>
    <xf numFmtId="2" fontId="3" fillId="0" borderId="8" xfId="4" applyNumberFormat="1" applyBorder="1" applyAlignment="1">
      <alignment horizontal="left"/>
    </xf>
    <xf numFmtId="165" fontId="3" fillId="0" borderId="0" xfId="4" applyNumberFormat="1" applyAlignment="1">
      <alignment horizontal="center"/>
    </xf>
    <xf numFmtId="0" fontId="3" fillId="0" borderId="8" xfId="4" applyBorder="1" applyAlignment="1">
      <alignment horizontal="left"/>
    </xf>
    <xf numFmtId="3" fontId="7" fillId="0" borderId="0" xfId="4" applyNumberFormat="1" applyFont="1" applyAlignment="1">
      <alignment horizontal="center"/>
    </xf>
    <xf numFmtId="1" fontId="3" fillId="0" borderId="0" xfId="4" applyNumberFormat="1" applyAlignment="1">
      <alignment horizontal="center"/>
    </xf>
    <xf numFmtId="3" fontId="3" fillId="0" borderId="0" xfId="4" applyNumberFormat="1" applyAlignment="1">
      <alignment horizontal="center"/>
    </xf>
    <xf numFmtId="2" fontId="7" fillId="0" borderId="0" xfId="4" applyNumberFormat="1" applyFont="1" applyAlignment="1">
      <alignment horizontal="center"/>
    </xf>
    <xf numFmtId="1" fontId="7" fillId="0" borderId="0" xfId="4" applyNumberFormat="1" applyFont="1" applyAlignment="1">
      <alignment horizontal="center"/>
    </xf>
    <xf numFmtId="0" fontId="3" fillId="0" borderId="0" xfId="4"/>
    <xf numFmtId="0" fontId="7" fillId="0" borderId="8" xfId="4" applyFont="1" applyBorder="1" applyAlignment="1">
      <alignment horizontal="left"/>
    </xf>
    <xf numFmtId="0" fontId="7" fillId="20" borderId="15" xfId="4" applyFont="1" applyFill="1" applyBorder="1"/>
    <xf numFmtId="0" fontId="3" fillId="0" borderId="8" xfId="4"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8" fillId="0" borderId="8" xfId="4" applyFont="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181" fontId="7" fillId="0" borderId="0" xfId="9" applyNumberFormat="1" applyFont="1" applyBorder="1" applyAlignment="1">
      <alignment horizontal="center"/>
    </xf>
    <xf numFmtId="181" fontId="3" fillId="0" borderId="0" xfId="9" applyNumberFormat="1" applyFont="1" applyFill="1" applyBorder="1" applyAlignment="1">
      <alignment horizontal="center" vertical="center"/>
    </xf>
    <xf numFmtId="0" fontId="3" fillId="0" borderId="6" xfId="4" applyBorder="1"/>
    <xf numFmtId="0" fontId="3" fillId="0" borderId="3" xfId="4"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xf numFmtId="2" fontId="10" fillId="0" borderId="0" xfId="4" applyNumberFormat="1" applyFont="1" applyAlignment="1">
      <alignment horizontal="center"/>
    </xf>
    <xf numFmtId="0" fontId="10" fillId="0" borderId="0" xfId="4" applyFont="1" applyAlignment="1">
      <alignment horizontal="left"/>
    </xf>
    <xf numFmtId="1" fontId="76" fillId="0" borderId="9" xfId="4" applyNumberFormat="1" applyFont="1" applyBorder="1" applyAlignment="1">
      <alignment horizontal="right"/>
    </xf>
    <xf numFmtId="0" fontId="40" fillId="0" borderId="0" xfId="0" applyFont="1"/>
    <xf numFmtId="0" fontId="40" fillId="0" borderId="0" xfId="4" applyFont="1"/>
    <xf numFmtId="1" fontId="41" fillId="0" borderId="9" xfId="4" applyNumberFormat="1" applyFont="1" applyBorder="1" applyAlignment="1">
      <alignment horizontal="right"/>
    </xf>
    <xf numFmtId="1" fontId="41" fillId="0" borderId="0" xfId="4" applyNumberFormat="1" applyFont="1" applyAlignment="1">
      <alignment horizontal="right"/>
    </xf>
    <xf numFmtId="0" fontId="3" fillId="0" borderId="40" xfId="0" applyFont="1" applyBorder="1"/>
    <xf numFmtId="0" fontId="42" fillId="0" borderId="2" xfId="4" applyFont="1" applyBorder="1"/>
    <xf numFmtId="0" fontId="42" fillId="0" borderId="8" xfId="4" applyFont="1" applyBorder="1" applyAlignment="1">
      <alignment horizontal="left" wrapText="1"/>
    </xf>
    <xf numFmtId="0" fontId="42" fillId="0" borderId="8" xfId="0" applyFont="1" applyBorder="1" applyAlignment="1">
      <alignment horizontal="left"/>
    </xf>
    <xf numFmtId="0" fontId="45" fillId="0" borderId="8" xfId="0" applyFont="1" applyBorder="1" applyAlignment="1">
      <alignment horizontal="center"/>
    </xf>
    <xf numFmtId="0" fontId="77" fillId="0" borderId="0" xfId="4" applyFont="1" applyAlignment="1">
      <alignment horizontal="left"/>
    </xf>
    <xf numFmtId="0" fontId="10" fillId="11" borderId="58" xfId="0" applyFont="1" applyFill="1" applyBorder="1" applyAlignment="1">
      <alignment horizontal="center"/>
    </xf>
    <xf numFmtId="1" fontId="61" fillId="11" borderId="43"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48"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1" xfId="0" applyFont="1" applyFill="1" applyBorder="1" applyAlignment="1">
      <alignment horizontal="center" vertical="center"/>
    </xf>
    <xf numFmtId="0" fontId="10" fillId="4" borderId="38"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5" fontId="40" fillId="4" borderId="38" xfId="0" applyNumberFormat="1" applyFont="1" applyFill="1" applyBorder="1" applyAlignment="1">
      <alignment horizontal="center"/>
    </xf>
    <xf numFmtId="165" fontId="40" fillId="4" borderId="19" xfId="0" applyNumberFormat="1" applyFont="1" applyFill="1" applyBorder="1" applyAlignment="1">
      <alignment horizontal="center"/>
    </xf>
    <xf numFmtId="165" fontId="40" fillId="4" borderId="21" xfId="0" applyNumberFormat="1" applyFont="1" applyFill="1" applyBorder="1" applyAlignment="1">
      <alignment horizontal="center"/>
    </xf>
    <xf numFmtId="2" fontId="40" fillId="4" borderId="23" xfId="0" applyNumberFormat="1" applyFont="1" applyFill="1" applyBorder="1" applyAlignment="1">
      <alignment horizontal="center"/>
    </xf>
    <xf numFmtId="2" fontId="40" fillId="4" borderId="24" xfId="0" applyNumberFormat="1" applyFont="1" applyFill="1" applyBorder="1" applyAlignment="1">
      <alignment horizontal="center"/>
    </xf>
    <xf numFmtId="2" fontId="40" fillId="4" borderId="25" xfId="0" applyNumberFormat="1" applyFont="1" applyFill="1" applyBorder="1" applyAlignment="1">
      <alignment horizontal="center"/>
    </xf>
    <xf numFmtId="2" fontId="40" fillId="4" borderId="26" xfId="0" applyNumberFormat="1" applyFont="1" applyFill="1" applyBorder="1" applyAlignment="1">
      <alignment horizontal="center"/>
    </xf>
    <xf numFmtId="3" fontId="40" fillId="4" borderId="36" xfId="2" applyNumberFormat="1" applyFont="1" applyFill="1" applyBorder="1" applyAlignment="1">
      <alignment horizontal="center" vertical="center"/>
    </xf>
    <xf numFmtId="3" fontId="40" fillId="4" borderId="33" xfId="2" applyNumberFormat="1" applyFont="1" applyFill="1" applyBorder="1" applyAlignment="1">
      <alignment horizontal="center" vertical="center"/>
    </xf>
    <xf numFmtId="3" fontId="40" fillId="4" borderId="37" xfId="2" applyNumberFormat="1" applyFont="1" applyFill="1" applyBorder="1" applyAlignment="1">
      <alignment horizontal="center" vertical="center"/>
    </xf>
    <xf numFmtId="0" fontId="0" fillId="11" borderId="33" xfId="0" applyFill="1" applyBorder="1" applyAlignment="1">
      <alignment horizontal="center"/>
    </xf>
    <xf numFmtId="0" fontId="18" fillId="10" borderId="36" xfId="0" applyFont="1" applyFill="1" applyBorder="1" applyAlignment="1">
      <alignment horizontal="center" vertical="center"/>
    </xf>
    <xf numFmtId="0" fontId="18" fillId="10" borderId="33" xfId="0" applyFont="1" applyFill="1" applyBorder="1" applyAlignment="1">
      <alignment horizontal="center" vertical="center"/>
    </xf>
    <xf numFmtId="0" fontId="18" fillId="10" borderId="37" xfId="0" applyFont="1" applyFill="1" applyBorder="1" applyAlignment="1">
      <alignment horizontal="center" vertical="center"/>
    </xf>
    <xf numFmtId="0" fontId="10" fillId="15" borderId="16" xfId="0" applyFont="1" applyFill="1" applyBorder="1"/>
    <xf numFmtId="0" fontId="18" fillId="0" borderId="42" xfId="0" applyFont="1" applyBorder="1" applyAlignment="1">
      <alignment horizontal="center" vertical="center" wrapText="1"/>
    </xf>
    <xf numFmtId="0" fontId="18" fillId="0" borderId="58" xfId="0" applyFont="1" applyBorder="1" applyAlignment="1">
      <alignment horizontal="center" vertical="center" wrapText="1"/>
    </xf>
    <xf numFmtId="0" fontId="18" fillId="0" borderId="58" xfId="0" applyFont="1" applyBorder="1" applyAlignment="1">
      <alignment horizontal="center"/>
    </xf>
    <xf numFmtId="0" fontId="0" fillId="0" borderId="58" xfId="0" applyBorder="1" applyAlignment="1">
      <alignment horizontal="center"/>
    </xf>
    <xf numFmtId="0" fontId="0" fillId="0" borderId="43" xfId="0" applyBorder="1" applyAlignment="1">
      <alignment horizontal="center"/>
    </xf>
    <xf numFmtId="0" fontId="48" fillId="11" borderId="13" xfId="0" applyFont="1" applyFill="1" applyBorder="1"/>
    <xf numFmtId="0" fontId="48" fillId="11" borderId="15" xfId="0" applyFont="1" applyFill="1" applyBorder="1"/>
    <xf numFmtId="0" fontId="48" fillId="11" borderId="14" xfId="0" applyFont="1" applyFill="1" applyBorder="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8" fillId="17" borderId="2" xfId="0" applyFont="1" applyFill="1" applyBorder="1"/>
    <xf numFmtId="0" fontId="48" fillId="17" borderId="0" xfId="0" applyFont="1" applyFill="1"/>
    <xf numFmtId="0" fontId="0" fillId="11" borderId="21" xfId="0" applyFill="1" applyBorder="1"/>
    <xf numFmtId="0" fontId="48" fillId="0" borderId="5" xfId="0" applyFont="1" applyBorder="1"/>
    <xf numFmtId="0" fontId="12" fillId="0" borderId="2" xfId="0" applyFont="1" applyBorder="1"/>
    <xf numFmtId="0" fontId="48" fillId="11" borderId="42" xfId="0" applyFont="1" applyFill="1" applyBorder="1" applyAlignment="1">
      <alignment horizontal="center"/>
    </xf>
    <xf numFmtId="0" fontId="48" fillId="11" borderId="42" xfId="0" applyFont="1" applyFill="1" applyBorder="1"/>
    <xf numFmtId="0" fontId="0" fillId="5" borderId="13" xfId="0" applyFill="1" applyBorder="1"/>
    <xf numFmtId="0" fontId="0" fillId="5" borderId="15" xfId="0" applyFill="1" applyBorder="1"/>
    <xf numFmtId="0" fontId="0" fillId="5" borderId="14" xfId="0" applyFill="1" applyBorder="1"/>
    <xf numFmtId="0" fontId="48" fillId="5" borderId="13" xfId="0" applyFont="1" applyFill="1" applyBorder="1"/>
    <xf numFmtId="0" fontId="48" fillId="5" borderId="15" xfId="0" applyFont="1" applyFill="1" applyBorder="1"/>
    <xf numFmtId="0" fontId="48"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6" fontId="0" fillId="11" borderId="18" xfId="0" applyNumberFormat="1" applyFill="1" applyBorder="1" applyAlignment="1">
      <alignment horizontal="center"/>
    </xf>
    <xf numFmtId="166" fontId="3" fillId="0" borderId="0" xfId="4" applyNumberFormat="1" applyAlignment="1">
      <alignment horizontal="left"/>
    </xf>
    <xf numFmtId="166" fontId="3" fillId="0" borderId="0" xfId="0" applyNumberFormat="1" applyFont="1" applyAlignment="1">
      <alignment horizontal="left"/>
    </xf>
    <xf numFmtId="0" fontId="33" fillId="0" borderId="0" xfId="8" applyFill="1" applyBorder="1"/>
    <xf numFmtId="1" fontId="61" fillId="11" borderId="27" xfId="0" applyNumberFormat="1" applyFont="1" applyFill="1" applyBorder="1" applyAlignment="1">
      <alignment horizontal="center"/>
    </xf>
    <xf numFmtId="1" fontId="61" fillId="11" borderId="19" xfId="0" applyNumberFormat="1" applyFont="1" applyFill="1" applyBorder="1" applyAlignment="1">
      <alignment horizontal="center"/>
    </xf>
    <xf numFmtId="1" fontId="61" fillId="11" borderId="21" xfId="0" applyNumberFormat="1" applyFont="1" applyFill="1" applyBorder="1" applyAlignment="1">
      <alignment horizontal="center"/>
    </xf>
    <xf numFmtId="1" fontId="61" fillId="11" borderId="12" xfId="0" applyNumberFormat="1" applyFont="1" applyFill="1" applyBorder="1" applyAlignment="1">
      <alignment horizontal="center"/>
    </xf>
    <xf numFmtId="1" fontId="61" fillId="11" borderId="18" xfId="0" applyNumberFormat="1" applyFont="1" applyFill="1" applyBorder="1" applyAlignment="1">
      <alignment horizontal="center"/>
    </xf>
    <xf numFmtId="1" fontId="61" fillId="11" borderId="23" xfId="0" applyNumberFormat="1" applyFont="1" applyFill="1" applyBorder="1" applyAlignment="1">
      <alignment horizontal="center"/>
    </xf>
    <xf numFmtId="1" fontId="61" fillId="11" borderId="55" xfId="0" applyNumberFormat="1" applyFont="1" applyFill="1" applyBorder="1" applyAlignment="1">
      <alignment horizontal="center"/>
    </xf>
    <xf numFmtId="1" fontId="61" fillId="11" borderId="25" xfId="0" applyNumberFormat="1" applyFont="1" applyFill="1" applyBorder="1" applyAlignment="1">
      <alignment horizontal="center"/>
    </xf>
    <xf numFmtId="1" fontId="61" fillId="11" borderId="26" xfId="0" applyNumberFormat="1" applyFont="1" applyFill="1" applyBorder="1" applyAlignment="1">
      <alignment horizontal="center"/>
    </xf>
    <xf numFmtId="170" fontId="61" fillId="11" borderId="32" xfId="2" applyNumberFormat="1" applyFont="1" applyFill="1" applyBorder="1" applyAlignment="1">
      <alignment vertical="center"/>
    </xf>
    <xf numFmtId="170" fontId="61" fillId="11" borderId="33" xfId="2" applyNumberFormat="1" applyFont="1" applyFill="1" applyBorder="1" applyAlignment="1">
      <alignment vertical="center"/>
    </xf>
    <xf numFmtId="170" fontId="61" fillId="11" borderId="37"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0" fillId="0" borderId="22" xfId="0" applyBorder="1" applyAlignment="1">
      <alignment horizontal="center"/>
    </xf>
    <xf numFmtId="0" fontId="33" fillId="0" borderId="0" xfId="8"/>
    <xf numFmtId="0" fontId="0" fillId="0" borderId="1" xfId="0" applyBorder="1"/>
    <xf numFmtId="0" fontId="12" fillId="0" borderId="0" xfId="0" applyFont="1" applyAlignment="1">
      <alignment horizontal="center" vertical="center"/>
    </xf>
    <xf numFmtId="0" fontId="48" fillId="0" borderId="0" xfId="0" applyFont="1" applyAlignment="1">
      <alignment horizontal="center" vertical="center"/>
    </xf>
    <xf numFmtId="0" fontId="3" fillId="11" borderId="18" xfId="0" applyFont="1" applyFill="1" applyBorder="1" applyAlignment="1">
      <alignment horizontal="center" vertical="center"/>
    </xf>
    <xf numFmtId="0" fontId="27" fillId="0" borderId="0" xfId="0" applyFont="1"/>
    <xf numFmtId="0" fontId="3" fillId="0" borderId="18" xfId="0" applyFont="1" applyBorder="1" applyAlignment="1">
      <alignment horizontal="left"/>
    </xf>
    <xf numFmtId="0" fontId="0" fillId="0" borderId="18" xfId="0" applyBorder="1" applyAlignment="1">
      <alignment horizontal="left"/>
    </xf>
    <xf numFmtId="166"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5"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166" fontId="3" fillId="0" borderId="0" xfId="0" applyNumberFormat="1" applyFont="1" applyAlignment="1">
      <alignment horizontal="left" vertical="center"/>
    </xf>
    <xf numFmtId="166" fontId="32" fillId="0" borderId="0" xfId="0" applyNumberFormat="1" applyFont="1" applyAlignment="1">
      <alignment horizontal="left"/>
    </xf>
    <xf numFmtId="2" fontId="32" fillId="0" borderId="0" xfId="0" applyNumberFormat="1" applyFont="1" applyAlignment="1">
      <alignment horizontal="left"/>
    </xf>
    <xf numFmtId="165" fontId="32" fillId="0" borderId="0" xfId="0" applyNumberFormat="1" applyFont="1" applyAlignment="1">
      <alignment horizontal="left"/>
    </xf>
    <xf numFmtId="0" fontId="32" fillId="0" borderId="0" xfId="0" applyFont="1" applyAlignment="1">
      <alignment horizontal="left"/>
    </xf>
    <xf numFmtId="2" fontId="3" fillId="0" borderId="0" xfId="0" applyNumberFormat="1" applyFont="1" applyAlignment="1">
      <alignment horizontal="left" vertical="center"/>
    </xf>
    <xf numFmtId="167" fontId="3" fillId="0" borderId="0" xfId="0" applyNumberFormat="1" applyFont="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5"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78" fillId="0" borderId="0" xfId="0" applyFont="1"/>
    <xf numFmtId="0" fontId="3" fillId="23" borderId="14" xfId="0" applyFont="1" applyFill="1" applyBorder="1"/>
    <xf numFmtId="165" fontId="3" fillId="0" borderId="0" xfId="0" applyNumberFormat="1" applyFont="1" applyAlignment="1">
      <alignment horizontal="left" vertical="center"/>
    </xf>
    <xf numFmtId="0" fontId="79" fillId="0" borderId="0" xfId="0" applyFont="1"/>
    <xf numFmtId="0" fontId="80" fillId="0" borderId="0" xfId="0" applyFont="1"/>
    <xf numFmtId="165" fontId="3" fillId="0" borderId="0" xfId="4" applyNumberFormat="1" applyAlignment="1">
      <alignment horizontal="left"/>
    </xf>
    <xf numFmtId="170" fontId="0" fillId="23" borderId="0" xfId="2" applyNumberFormat="1" applyFont="1" applyFill="1" applyAlignment="1">
      <alignment horizontal="center"/>
    </xf>
    <xf numFmtId="0" fontId="43" fillId="0" borderId="14" xfId="4" applyFont="1" applyBorder="1" applyAlignment="1">
      <alignment horizontal="center" vertical="center"/>
    </xf>
    <xf numFmtId="0" fontId="43" fillId="0" borderId="0" xfId="4" applyFont="1" applyAlignment="1">
      <alignment horizontal="center" vertical="center"/>
    </xf>
    <xf numFmtId="0" fontId="21" fillId="0" borderId="0" xfId="4" applyFont="1" applyAlignment="1">
      <alignment vertical="center"/>
    </xf>
    <xf numFmtId="0" fontId="42" fillId="0" borderId="0" xfId="4" applyFont="1" applyAlignment="1">
      <alignment vertical="center"/>
    </xf>
    <xf numFmtId="0" fontId="45" fillId="0" borderId="5" xfId="4" applyFont="1" applyBorder="1"/>
    <xf numFmtId="9" fontId="42" fillId="12" borderId="9" xfId="3" applyFont="1" applyFill="1" applyBorder="1" applyAlignment="1">
      <alignment horizontal="left"/>
    </xf>
    <xf numFmtId="0" fontId="42" fillId="12" borderId="4" xfId="4" applyFont="1" applyFill="1" applyBorder="1" applyAlignment="1">
      <alignment horizontal="left"/>
    </xf>
    <xf numFmtId="166" fontId="42" fillId="0" borderId="0" xfId="0" applyNumberFormat="1" applyFont="1" applyAlignment="1">
      <alignment horizontal="center"/>
    </xf>
    <xf numFmtId="0" fontId="77" fillId="0" borderId="0" xfId="4" applyFont="1"/>
    <xf numFmtId="0" fontId="43" fillId="0" borderId="42" xfId="4" applyFont="1" applyBorder="1" applyAlignment="1">
      <alignment vertical="center"/>
    </xf>
    <xf numFmtId="0" fontId="43" fillId="0" borderId="42" xfId="4" applyFont="1" applyBorder="1" applyAlignment="1">
      <alignment horizontal="center" vertical="center" wrapText="1"/>
    </xf>
    <xf numFmtId="2" fontId="82" fillId="0" borderId="0" xfId="0" applyNumberFormat="1" applyFont="1" applyAlignment="1">
      <alignment horizontal="center"/>
    </xf>
    <xf numFmtId="166" fontId="3" fillId="5" borderId="0" xfId="0" applyNumberFormat="1" applyFont="1" applyFill="1" applyAlignment="1">
      <alignment horizontal="center"/>
    </xf>
    <xf numFmtId="0" fontId="3" fillId="12" borderId="0" xfId="0" applyFont="1" applyFill="1" applyAlignment="1">
      <alignment horizontal="center"/>
    </xf>
    <xf numFmtId="166" fontId="3" fillId="2" borderId="0" xfId="0" applyNumberFormat="1" applyFont="1" applyFill="1" applyAlignment="1">
      <alignment horizontal="center"/>
    </xf>
    <xf numFmtId="167" fontId="3" fillId="2" borderId="0" xfId="0" applyNumberFormat="1" applyFont="1" applyFill="1" applyAlignment="1">
      <alignment horizontal="center"/>
    </xf>
    <xf numFmtId="0" fontId="11" fillId="0" borderId="0" xfId="0" applyFont="1" applyAlignment="1">
      <alignment horizontal="center"/>
    </xf>
    <xf numFmtId="0" fontId="3" fillId="5" borderId="18" xfId="0" applyFont="1" applyFill="1" applyBorder="1" applyAlignment="1">
      <alignment horizontal="center"/>
    </xf>
    <xf numFmtId="164" fontId="3" fillId="5" borderId="45" xfId="0" applyNumberFormat="1" applyFont="1" applyFill="1" applyBorder="1" applyAlignment="1">
      <alignment horizontal="center"/>
    </xf>
    <xf numFmtId="40" fontId="3" fillId="2" borderId="0" xfId="2" applyNumberFormat="1" applyFont="1" applyFill="1" applyAlignment="1">
      <alignment horizontal="center"/>
    </xf>
    <xf numFmtId="170"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5" fontId="3" fillId="9" borderId="11" xfId="0" applyNumberFormat="1" applyFont="1" applyFill="1" applyBorder="1" applyAlignment="1">
      <alignment horizontal="right"/>
    </xf>
    <xf numFmtId="165"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5" fontId="3" fillId="7" borderId="11" xfId="0" applyNumberFormat="1" applyFont="1" applyFill="1" applyBorder="1" applyAlignment="1">
      <alignment horizontal="right"/>
    </xf>
    <xf numFmtId="165"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0" fontId="3" fillId="8" borderId="11" xfId="7" applyNumberFormat="1" applyFont="1" applyFill="1" applyBorder="1" applyAlignment="1">
      <alignment horizontal="right"/>
    </xf>
    <xf numFmtId="170" fontId="3" fillId="8" borderId="12" xfId="7" applyNumberFormat="1" applyFont="1" applyFill="1" applyBorder="1" applyAlignment="1">
      <alignment horizontal="right"/>
    </xf>
    <xf numFmtId="169" fontId="3" fillId="8" borderId="11" xfId="7" applyNumberFormat="1" applyFont="1" applyFill="1" applyBorder="1" applyAlignment="1">
      <alignment horizontal="right"/>
    </xf>
    <xf numFmtId="43" fontId="3" fillId="8" borderId="11" xfId="7" applyNumberFormat="1" applyFont="1" applyFill="1" applyBorder="1" applyAlignment="1">
      <alignment horizontal="right"/>
    </xf>
    <xf numFmtId="43" fontId="3" fillId="8" borderId="12" xfId="7" applyNumberFormat="1" applyFont="1" applyFill="1" applyBorder="1" applyAlignment="1">
      <alignment horizontal="right"/>
    </xf>
    <xf numFmtId="0" fontId="7" fillId="9" borderId="50" xfId="0" applyFont="1" applyFill="1" applyBorder="1"/>
    <xf numFmtId="0" fontId="3" fillId="9" borderId="40" xfId="0" applyFont="1" applyFill="1" applyBorder="1"/>
    <xf numFmtId="165" fontId="3" fillId="9" borderId="40" xfId="0" applyNumberFormat="1" applyFont="1" applyFill="1" applyBorder="1" applyAlignment="1">
      <alignment horizontal="right"/>
    </xf>
    <xf numFmtId="0" fontId="7" fillId="9" borderId="62" xfId="0" applyFont="1" applyFill="1" applyBorder="1"/>
    <xf numFmtId="0" fontId="3" fillId="9" borderId="1" xfId="0" applyFont="1" applyFill="1" applyBorder="1"/>
    <xf numFmtId="165" fontId="3" fillId="9" borderId="1" xfId="0" applyNumberFormat="1" applyFont="1" applyFill="1" applyBorder="1" applyAlignment="1">
      <alignment horizontal="right"/>
    </xf>
    <xf numFmtId="165" fontId="3" fillId="9" borderId="63" xfId="0" applyNumberFormat="1" applyFont="1" applyFill="1" applyBorder="1" applyAlignment="1">
      <alignment horizontal="right"/>
    </xf>
    <xf numFmtId="165" fontId="3" fillId="9" borderId="51" xfId="0" applyNumberFormat="1" applyFont="1" applyFill="1" applyBorder="1" applyAlignment="1">
      <alignment horizontal="right"/>
    </xf>
    <xf numFmtId="0" fontId="7" fillId="7" borderId="50" xfId="0" applyFont="1" applyFill="1" applyBorder="1"/>
    <xf numFmtId="0" fontId="3" fillId="7" borderId="40" xfId="0" applyFont="1" applyFill="1" applyBorder="1"/>
    <xf numFmtId="0" fontId="7" fillId="7" borderId="62" xfId="0" applyFont="1" applyFill="1" applyBorder="1"/>
    <xf numFmtId="0" fontId="3" fillId="7" borderId="1" xfId="0" applyFont="1" applyFill="1" applyBorder="1"/>
    <xf numFmtId="165" fontId="3" fillId="7" borderId="1" xfId="0" applyNumberFormat="1" applyFont="1" applyFill="1" applyBorder="1" applyAlignment="1">
      <alignment horizontal="right"/>
    </xf>
    <xf numFmtId="165" fontId="3" fillId="7" borderId="63" xfId="0" applyNumberFormat="1" applyFont="1" applyFill="1" applyBorder="1" applyAlignment="1">
      <alignment horizontal="right"/>
    </xf>
    <xf numFmtId="165" fontId="3" fillId="7" borderId="11" xfId="0" quotePrefix="1" applyNumberFormat="1" applyFont="1" applyFill="1" applyBorder="1" applyAlignment="1">
      <alignment horizontal="right"/>
    </xf>
    <xf numFmtId="165" fontId="0" fillId="7" borderId="11" xfId="0" quotePrefix="1" applyNumberFormat="1" applyFill="1" applyBorder="1" applyAlignment="1">
      <alignment horizontal="right"/>
    </xf>
    <xf numFmtId="165" fontId="3" fillId="7" borderId="12" xfId="0" quotePrefix="1" applyNumberFormat="1" applyFont="1" applyFill="1" applyBorder="1" applyAlignment="1">
      <alignment horizontal="right"/>
    </xf>
    <xf numFmtId="165" fontId="0" fillId="7" borderId="12" xfId="0" quotePrefix="1" applyNumberFormat="1" applyFill="1" applyBorder="1" applyAlignment="1">
      <alignment horizontal="right"/>
    </xf>
    <xf numFmtId="0" fontId="7" fillId="8" borderId="62" xfId="0" applyFont="1" applyFill="1" applyBorder="1"/>
    <xf numFmtId="0" fontId="3" fillId="8" borderId="1" xfId="0" applyFont="1" applyFill="1" applyBorder="1"/>
    <xf numFmtId="170" fontId="3" fillId="8" borderId="1"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0" fontId="0" fillId="0" borderId="0" xfId="2" applyNumberFormat="1" applyFont="1" applyAlignment="1">
      <alignment horizontal="left"/>
    </xf>
    <xf numFmtId="0" fontId="4" fillId="0" borderId="0" xfId="2" applyNumberFormat="1" applyFont="1" applyAlignment="1">
      <alignment horizontal="left"/>
    </xf>
    <xf numFmtId="43" fontId="3" fillId="0" borderId="0" xfId="0" applyNumberFormat="1" applyFont="1" applyAlignment="1">
      <alignment horizontal="center" vertical="center"/>
    </xf>
    <xf numFmtId="170" fontId="32" fillId="0" borderId="0" xfId="2" applyNumberFormat="1" applyFont="1" applyAlignment="1">
      <alignment horizontal="center"/>
    </xf>
    <xf numFmtId="0" fontId="83" fillId="0" borderId="0" xfId="0" applyFont="1"/>
    <xf numFmtId="0" fontId="32" fillId="0" borderId="0" xfId="2" applyNumberFormat="1" applyFont="1" applyAlignment="1">
      <alignment horizontal="center"/>
    </xf>
    <xf numFmtId="38" fontId="32" fillId="0" borderId="0" xfId="2" applyNumberFormat="1" applyFont="1"/>
    <xf numFmtId="38" fontId="32" fillId="0" borderId="0" xfId="0" applyNumberFormat="1" applyFont="1"/>
    <xf numFmtId="170" fontId="0" fillId="5" borderId="0" xfId="2" applyNumberFormat="1" applyFont="1" applyFill="1" applyAlignment="1">
      <alignment horizontal="center"/>
    </xf>
    <xf numFmtId="169" fontId="0" fillId="5" borderId="0" xfId="2" applyNumberFormat="1" applyFont="1" applyFill="1" applyAlignment="1">
      <alignment horizontal="center"/>
    </xf>
    <xf numFmtId="38" fontId="0" fillId="0" borderId="0" xfId="2" applyNumberFormat="1" applyFont="1" applyAlignment="1">
      <alignment horizontal="right"/>
    </xf>
    <xf numFmtId="172" fontId="0" fillId="0" borderId="0" xfId="2" applyNumberFormat="1" applyFont="1" applyAlignment="1">
      <alignment horizontal="center"/>
    </xf>
    <xf numFmtId="169" fontId="0" fillId="0" borderId="0" xfId="2" applyNumberFormat="1" applyFont="1" applyAlignment="1">
      <alignment horizontal="center"/>
    </xf>
    <xf numFmtId="174" fontId="3" fillId="0" borderId="0" xfId="2" applyNumberFormat="1" applyFont="1" applyAlignment="1">
      <alignment horizontal="center"/>
    </xf>
    <xf numFmtId="0" fontId="18" fillId="0" borderId="1" xfId="0" applyFont="1" applyBorder="1" applyAlignment="1">
      <alignment horizontal="right"/>
    </xf>
    <xf numFmtId="186" fontId="0" fillId="0" borderId="0" xfId="0" applyNumberFormat="1"/>
    <xf numFmtId="167" fontId="3" fillId="0" borderId="0" xfId="0" applyNumberFormat="1" applyFont="1"/>
    <xf numFmtId="0" fontId="3" fillId="0" borderId="0" xfId="0" applyFont="1" applyAlignment="1">
      <alignment horizontal="right" wrapText="1"/>
    </xf>
    <xf numFmtId="3" fontId="3" fillId="0" borderId="0" xfId="0" applyNumberFormat="1" applyFont="1" applyAlignment="1">
      <alignment horizontal="right"/>
    </xf>
    <xf numFmtId="167" fontId="3" fillId="0" borderId="0" xfId="0" applyNumberFormat="1" applyFont="1" applyAlignment="1">
      <alignment horizontal="right" wrapText="1"/>
    </xf>
    <xf numFmtId="39" fontId="3" fillId="0" borderId="0" xfId="0" applyNumberFormat="1" applyFont="1"/>
    <xf numFmtId="43" fontId="3" fillId="0" borderId="0" xfId="2" applyFont="1" applyFill="1" applyAlignment="1">
      <alignment horizontal="right"/>
    </xf>
    <xf numFmtId="173" fontId="3" fillId="0" borderId="0" xfId="2" applyNumberFormat="1" applyFont="1" applyAlignment="1">
      <alignment horizontal="center"/>
    </xf>
    <xf numFmtId="165" fontId="29" fillId="0" borderId="0" xfId="0" applyNumberFormat="1" applyFont="1" applyAlignment="1">
      <alignment horizontal="left"/>
    </xf>
    <xf numFmtId="1" fontId="42" fillId="0" borderId="7" xfId="4" applyNumberFormat="1" applyFont="1" applyBorder="1" applyAlignment="1">
      <alignment horizontal="center"/>
    </xf>
    <xf numFmtId="1" fontId="42" fillId="0" borderId="4" xfId="4" applyNumberFormat="1" applyFont="1" applyBorder="1" applyAlignment="1">
      <alignment horizontal="center"/>
    </xf>
    <xf numFmtId="0" fontId="42" fillId="0" borderId="13" xfId="4" applyFont="1" applyBorder="1" applyAlignment="1">
      <alignment horizontal="left"/>
    </xf>
    <xf numFmtId="2" fontId="53" fillId="0" borderId="14" xfId="4" applyNumberFormat="1" applyFont="1" applyBorder="1" applyAlignment="1">
      <alignment horizontal="center"/>
    </xf>
    <xf numFmtId="0" fontId="70" fillId="0" borderId="0" xfId="4" applyFont="1"/>
    <xf numFmtId="0" fontId="0" fillId="0" borderId="8" xfId="0" applyBorder="1" applyAlignment="1">
      <alignment horizontal="left"/>
    </xf>
    <xf numFmtId="165" fontId="0" fillId="0" borderId="0" xfId="4" applyNumberFormat="1" applyFont="1" applyAlignment="1">
      <alignment horizontal="center"/>
    </xf>
    <xf numFmtId="165" fontId="3" fillId="0" borderId="0" xfId="0" applyNumberFormat="1" applyFont="1" applyAlignment="1">
      <alignment horizontal="center" vertical="center"/>
    </xf>
    <xf numFmtId="169" fontId="0" fillId="5" borderId="0" xfId="2" applyNumberFormat="1" applyFont="1" applyFill="1" applyAlignment="1">
      <alignment horizontal="right"/>
    </xf>
    <xf numFmtId="170" fontId="0" fillId="5" borderId="0" xfId="2" applyNumberFormat="1" applyFont="1" applyFill="1" applyAlignment="1">
      <alignment horizontal="right"/>
    </xf>
    <xf numFmtId="174"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85" fillId="0" borderId="0" xfId="0" applyFont="1"/>
    <xf numFmtId="0" fontId="7" fillId="0" borderId="18" xfId="0" applyFont="1" applyBorder="1"/>
    <xf numFmtId="170" fontId="0" fillId="0" borderId="0" xfId="2" applyNumberFormat="1" applyFont="1" applyFill="1" applyAlignment="1">
      <alignment horizontal="center"/>
    </xf>
    <xf numFmtId="170" fontId="3" fillId="0" borderId="0" xfId="2" applyNumberFormat="1" applyFont="1" applyFill="1" applyAlignment="1">
      <alignment horizontal="center"/>
    </xf>
    <xf numFmtId="43" fontId="0" fillId="0" borderId="0" xfId="2" applyFont="1" applyFill="1" applyAlignment="1">
      <alignment horizontal="center"/>
    </xf>
    <xf numFmtId="43" fontId="0" fillId="0" borderId="0" xfId="2" applyFont="1" applyFill="1" applyBorder="1" applyAlignment="1">
      <alignment horizontal="center"/>
    </xf>
    <xf numFmtId="0" fontId="7" fillId="0" borderId="23" xfId="0" applyFont="1" applyBorder="1"/>
    <xf numFmtId="169" fontId="3" fillId="0" borderId="0" xfId="2" applyNumberFormat="1" applyFont="1"/>
    <xf numFmtId="169" fontId="32" fillId="0" borderId="0" xfId="2" applyNumberFormat="1" applyFont="1" applyAlignment="1">
      <alignment horizontal="center"/>
    </xf>
    <xf numFmtId="44" fontId="3" fillId="0" borderId="0" xfId="2" applyNumberFormat="1" applyFont="1" applyBorder="1" applyAlignment="1">
      <alignment horizontal="center"/>
    </xf>
    <xf numFmtId="170" fontId="3" fillId="0" borderId="0" xfId="2" applyNumberFormat="1" applyFont="1" applyFill="1" applyAlignment="1">
      <alignment horizontal="center" vertical="center"/>
    </xf>
    <xf numFmtId="43" fontId="3" fillId="0" borderId="0" xfId="2" applyFont="1" applyFill="1" applyAlignment="1">
      <alignment horizontal="center" vertical="center"/>
    </xf>
    <xf numFmtId="1" fontId="3" fillId="0" borderId="0" xfId="0" applyNumberFormat="1" applyFont="1" applyAlignment="1">
      <alignment horizontal="center" vertical="center"/>
    </xf>
    <xf numFmtId="2" fontId="3" fillId="0" borderId="0" xfId="2" applyNumberFormat="1" applyFont="1" applyFill="1" applyAlignment="1">
      <alignment horizontal="center" vertical="center"/>
    </xf>
    <xf numFmtId="1" fontId="3" fillId="0" borderId="0" xfId="2" applyNumberFormat="1" applyFont="1" applyFill="1" applyAlignment="1">
      <alignment horizontal="center" vertical="center"/>
    </xf>
    <xf numFmtId="0" fontId="67" fillId="0" borderId="0" xfId="0" applyFont="1" applyAlignment="1">
      <alignment vertical="center"/>
    </xf>
    <xf numFmtId="186" fontId="0" fillId="0" borderId="0" xfId="9" applyNumberFormat="1" applyFont="1"/>
    <xf numFmtId="186" fontId="3" fillId="0" borderId="0" xfId="9" applyNumberFormat="1" applyFont="1"/>
    <xf numFmtId="40" fontId="3" fillId="0" borderId="0" xfId="2" applyNumberFormat="1" applyFont="1" applyBorder="1" applyAlignment="1">
      <alignment horizontal="center"/>
    </xf>
    <xf numFmtId="0" fontId="86" fillId="0" borderId="0" xfId="0" applyFont="1"/>
    <xf numFmtId="1" fontId="0" fillId="0" borderId="0" xfId="0" applyNumberFormat="1" applyAlignment="1">
      <alignment horizontal="right"/>
    </xf>
    <xf numFmtId="170" fontId="0" fillId="0" borderId="0" xfId="2" applyNumberFormat="1" applyFont="1" applyFill="1" applyBorder="1" applyAlignment="1">
      <alignment horizontal="center"/>
    </xf>
    <xf numFmtId="165" fontId="3" fillId="0" borderId="0" xfId="2" applyNumberFormat="1" applyFont="1" applyFill="1" applyAlignment="1">
      <alignment horizontal="center" vertical="center"/>
    </xf>
    <xf numFmtId="0" fontId="3" fillId="0" borderId="0" xfId="0" applyFont="1" applyAlignment="1">
      <alignment vertical="center" wrapText="1"/>
    </xf>
    <xf numFmtId="0" fontId="87" fillId="0" borderId="8" xfId="0" applyFont="1" applyBorder="1" applyAlignment="1">
      <alignment vertical="center"/>
    </xf>
    <xf numFmtId="0" fontId="87" fillId="0" borderId="9" xfId="0" applyFont="1" applyBorder="1" applyAlignment="1">
      <alignment vertical="center"/>
    </xf>
    <xf numFmtId="0" fontId="19" fillId="0" borderId="0" xfId="0" applyFont="1" applyAlignment="1">
      <alignment horizontal="center" vertical="center"/>
    </xf>
    <xf numFmtId="0" fontId="48" fillId="11" borderId="39" xfId="0" applyFont="1" applyFill="1" applyBorder="1" applyAlignment="1">
      <alignment horizontal="center"/>
    </xf>
    <xf numFmtId="0" fontId="4" fillId="0" borderId="0" xfId="0" applyFont="1" applyAlignment="1">
      <alignment vertical="center" wrapText="1"/>
    </xf>
    <xf numFmtId="0" fontId="88" fillId="0" borderId="0" xfId="0" applyFont="1" applyAlignment="1">
      <alignment vertical="center" wrapText="1"/>
    </xf>
    <xf numFmtId="0" fontId="48" fillId="0" borderId="0" xfId="0" applyFont="1" applyAlignment="1">
      <alignment vertical="center"/>
    </xf>
    <xf numFmtId="0" fontId="4" fillId="0" borderId="0" xfId="0" applyFont="1" applyAlignment="1">
      <alignment horizontal="center" vertical="center" wrapText="1"/>
    </xf>
    <xf numFmtId="0" fontId="92" fillId="0" borderId="0" xfId="0" applyFont="1" applyAlignment="1">
      <alignment horizontal="center" wrapText="1"/>
    </xf>
    <xf numFmtId="0" fontId="93" fillId="0" borderId="0" xfId="0" applyFont="1" applyAlignment="1">
      <alignment horizontal="center" wrapText="1"/>
    </xf>
    <xf numFmtId="1" fontId="10" fillId="11" borderId="18" xfId="0" applyNumberFormat="1" applyFont="1" applyFill="1" applyBorder="1" applyAlignment="1">
      <alignment horizontal="center" vertical="center"/>
    </xf>
    <xf numFmtId="0" fontId="47"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3" xfId="0" applyFont="1" applyBorder="1" applyAlignment="1">
      <alignment vertical="center" wrapText="1"/>
    </xf>
    <xf numFmtId="0" fontId="94" fillId="0" borderId="13" xfId="0" applyFont="1" applyBorder="1" applyAlignment="1">
      <alignment vertical="center"/>
    </xf>
    <xf numFmtId="0" fontId="94" fillId="21" borderId="13" xfId="0" applyFont="1" applyFill="1" applyBorder="1" applyAlignment="1">
      <alignment vertical="center"/>
    </xf>
    <xf numFmtId="0" fontId="94" fillId="21" borderId="15" xfId="0" applyFont="1" applyFill="1" applyBorder="1" applyAlignment="1">
      <alignment vertical="center"/>
    </xf>
    <xf numFmtId="0" fontId="48"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1" fillId="21" borderId="15" xfId="0" applyFont="1" applyFill="1" applyBorder="1" applyAlignment="1">
      <alignment horizontal="center" vertical="center" wrapText="1"/>
    </xf>
    <xf numFmtId="0" fontId="48" fillId="21" borderId="15" xfId="0" applyFont="1" applyFill="1" applyBorder="1"/>
    <xf numFmtId="0" fontId="48" fillId="21" borderId="15" xfId="0" applyFont="1" applyFill="1" applyBorder="1" applyAlignment="1">
      <alignment vertical="center"/>
    </xf>
    <xf numFmtId="0" fontId="48" fillId="21" borderId="14" xfId="0" applyFont="1" applyFill="1" applyBorder="1" applyAlignment="1">
      <alignment vertical="center"/>
    </xf>
    <xf numFmtId="0" fontId="12" fillId="21" borderId="15" xfId="0" applyFont="1" applyFill="1" applyBorder="1" applyAlignment="1">
      <alignment horizontal="center" wrapText="1"/>
    </xf>
    <xf numFmtId="0" fontId="90" fillId="21" borderId="15" xfId="0" applyFont="1" applyFill="1" applyBorder="1" applyAlignment="1">
      <alignment horizontal="center" wrapText="1"/>
    </xf>
    <xf numFmtId="0" fontId="12" fillId="21" borderId="15" xfId="0" applyFont="1" applyFill="1" applyBorder="1" applyAlignment="1">
      <alignment vertical="center" wrapText="1"/>
    </xf>
    <xf numFmtId="0" fontId="95" fillId="0" borderId="0" xfId="0" applyFont="1"/>
    <xf numFmtId="0" fontId="4" fillId="18" borderId="5" xfId="0" applyFont="1" applyFill="1" applyBorder="1"/>
    <xf numFmtId="0" fontId="4" fillId="19" borderId="6" xfId="0" applyFont="1" applyFill="1" applyBorder="1"/>
    <xf numFmtId="1" fontId="7" fillId="0" borderId="0" xfId="0" applyNumberFormat="1" applyFont="1" applyAlignment="1">
      <alignment horizontal="left"/>
    </xf>
    <xf numFmtId="20" fontId="7" fillId="0" borderId="0" xfId="0" applyNumberFormat="1" applyFont="1" applyAlignment="1">
      <alignment horizontal="center"/>
    </xf>
    <xf numFmtId="0" fontId="96" fillId="13" borderId="13" xfId="0" applyFont="1" applyFill="1" applyBorder="1" applyAlignment="1">
      <alignment horizontal="right"/>
    </xf>
    <xf numFmtId="0" fontId="4" fillId="11" borderId="38"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Alignment="1">
      <alignment horizontal="left"/>
    </xf>
    <xf numFmtId="3" fontId="10" fillId="0" borderId="0" xfId="2" applyNumberFormat="1" applyFont="1" applyFill="1" applyBorder="1" applyAlignment="1">
      <alignment horizontal="center" vertical="center"/>
    </xf>
    <xf numFmtId="0" fontId="4" fillId="10" borderId="36" xfId="0" applyFont="1" applyFill="1" applyBorder="1" applyAlignment="1">
      <alignment horizontal="center" vertical="center"/>
    </xf>
    <xf numFmtId="0" fontId="4" fillId="10" borderId="33" xfId="0" applyFont="1" applyFill="1" applyBorder="1" applyAlignment="1">
      <alignment horizontal="center" vertical="center"/>
    </xf>
    <xf numFmtId="0" fontId="4" fillId="10" borderId="37" xfId="0" applyFont="1" applyFill="1" applyBorder="1" applyAlignment="1">
      <alignment horizontal="center" vertical="center"/>
    </xf>
    <xf numFmtId="1" fontId="10" fillId="0" borderId="0" xfId="0" applyNumberFormat="1" applyFont="1" applyAlignment="1">
      <alignment horizontal="center"/>
    </xf>
    <xf numFmtId="0" fontId="4" fillId="0" borderId="0" xfId="0" applyFont="1" applyAlignment="1">
      <alignment wrapText="1"/>
    </xf>
    <xf numFmtId="165" fontId="4" fillId="0" borderId="0" xfId="0" applyNumberFormat="1" applyFont="1" applyAlignment="1">
      <alignment horizontal="center" vertical="center"/>
    </xf>
    <xf numFmtId="2" fontId="4" fillId="0" borderId="0" xfId="0" applyNumberFormat="1" applyFont="1" applyAlignment="1">
      <alignment horizontal="center" vertical="center"/>
    </xf>
    <xf numFmtId="0" fontId="47" fillId="0" borderId="0" xfId="0" applyFont="1" applyAlignment="1">
      <alignment horizontal="center"/>
    </xf>
    <xf numFmtId="170"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1" fontId="10" fillId="11" borderId="18" xfId="9" applyNumberFormat="1" applyFont="1" applyFill="1" applyBorder="1" applyAlignment="1">
      <alignment horizontal="center" vertical="center"/>
    </xf>
    <xf numFmtId="0" fontId="96" fillId="9" borderId="16" xfId="0" applyFont="1" applyFill="1" applyBorder="1" applyAlignment="1">
      <alignment horizontal="center" vertical="center" wrapText="1"/>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96" fillId="9" borderId="16" xfId="1" applyFont="1" applyFill="1" applyBorder="1" applyAlignment="1">
      <alignment horizontal="center" vertical="center" wrapText="1"/>
    </xf>
    <xf numFmtId="165"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8" fontId="10" fillId="0" borderId="0" xfId="0" applyNumberFormat="1" applyFont="1"/>
    <xf numFmtId="1" fontId="10" fillId="12" borderId="18" xfId="0" applyNumberFormat="1" applyFont="1" applyFill="1" applyBorder="1" applyAlignment="1">
      <alignment horizontal="center" vertical="center"/>
    </xf>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Alignment="1">
      <alignment horizontal="center" wrapText="1"/>
    </xf>
    <xf numFmtId="0" fontId="47" fillId="0" borderId="34" xfId="0" applyFont="1" applyBorder="1" applyAlignment="1">
      <alignment vertical="top" wrapText="1"/>
    </xf>
    <xf numFmtId="0" fontId="4" fillId="0" borderId="0" xfId="0" applyFont="1" applyAlignment="1">
      <alignment horizontal="center" vertical="center"/>
    </xf>
    <xf numFmtId="0" fontId="47" fillId="0" borderId="0" xfId="0" applyFont="1" applyAlignment="1">
      <alignment horizontal="center" vertical="center"/>
    </xf>
    <xf numFmtId="0" fontId="21" fillId="0" borderId="36" xfId="0" applyFont="1" applyBorder="1"/>
    <xf numFmtId="0" fontId="21" fillId="0" borderId="33" xfId="0" applyFont="1" applyBorder="1"/>
    <xf numFmtId="0" fontId="21" fillId="0" borderId="37" xfId="0" applyFont="1" applyBorder="1" applyAlignment="1">
      <alignment horizontal="center"/>
    </xf>
    <xf numFmtId="0" fontId="60" fillId="15" borderId="48" xfId="0" applyFont="1" applyFill="1" applyBorder="1"/>
    <xf numFmtId="0" fontId="60" fillId="15" borderId="49" xfId="0" applyFont="1" applyFill="1" applyBorder="1"/>
    <xf numFmtId="0" fontId="60" fillId="15" borderId="49" xfId="0" applyFont="1" applyFill="1" applyBorder="1" applyAlignment="1">
      <alignment vertical="center"/>
    </xf>
    <xf numFmtId="0" fontId="60" fillId="15" borderId="0" xfId="0" applyFont="1" applyFill="1"/>
    <xf numFmtId="0" fontId="60" fillId="15" borderId="0" xfId="0" applyFont="1" applyFill="1" applyAlignment="1">
      <alignment horizontal="center" vertical="center"/>
    </xf>
    <xf numFmtId="0" fontId="18" fillId="0" borderId="28" xfId="0" applyFont="1" applyBorder="1" applyAlignment="1">
      <alignment horizontal="center"/>
    </xf>
    <xf numFmtId="0" fontId="18" fillId="0" borderId="20" xfId="0" applyFont="1" applyBorder="1" applyAlignment="1">
      <alignment horizontal="center"/>
    </xf>
    <xf numFmtId="0" fontId="18" fillId="0" borderId="29"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12" fillId="0" borderId="0" xfId="0" applyFont="1" applyAlignment="1">
      <alignment vertical="center" wrapText="1"/>
    </xf>
    <xf numFmtId="0" fontId="98" fillId="0" borderId="0" xfId="0" applyFont="1" applyAlignment="1">
      <alignment vertical="center" wrapText="1"/>
    </xf>
    <xf numFmtId="0" fontId="10" fillId="0" borderId="0" xfId="0" applyFont="1" applyAlignment="1">
      <alignment horizontal="center" wrapText="1"/>
    </xf>
    <xf numFmtId="0" fontId="10" fillId="0" borderId="0" xfId="0" applyFont="1" applyAlignment="1">
      <alignment horizontal="center" vertical="center" wrapText="1"/>
    </xf>
    <xf numFmtId="0" fontId="10" fillId="11" borderId="18" xfId="0" applyFont="1" applyFill="1" applyBorder="1" applyAlignment="1">
      <alignment horizontal="center" vertical="center"/>
    </xf>
    <xf numFmtId="0" fontId="12" fillId="0" borderId="0" xfId="0" applyFont="1" applyAlignment="1">
      <alignment vertical="center"/>
    </xf>
    <xf numFmtId="0" fontId="18" fillId="11" borderId="36" xfId="0" applyFont="1" applyFill="1" applyBorder="1" applyAlignment="1">
      <alignment horizontal="left"/>
    </xf>
    <xf numFmtId="0" fontId="18" fillId="5" borderId="13" xfId="0" applyFont="1" applyFill="1" applyBorder="1"/>
    <xf numFmtId="0" fontId="18" fillId="3" borderId="36"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0" xfId="0" applyFont="1" applyFill="1" applyBorder="1" applyAlignment="1">
      <alignment horizontal="center" vertical="center"/>
    </xf>
    <xf numFmtId="0" fontId="18" fillId="0" borderId="3" xfId="0" applyFont="1" applyBorder="1" applyAlignment="1">
      <alignment horizontal="center" vertical="center" wrapText="1"/>
    </xf>
    <xf numFmtId="170"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30" xfId="0" applyFont="1" applyFill="1" applyBorder="1" applyAlignment="1">
      <alignment horizontal="center" vertical="center"/>
    </xf>
    <xf numFmtId="0" fontId="4" fillId="10" borderId="65" xfId="0" applyFont="1" applyFill="1" applyBorder="1" applyAlignment="1">
      <alignment horizontal="center" vertical="center"/>
    </xf>
    <xf numFmtId="0" fontId="94" fillId="0" borderId="13" xfId="0" applyFont="1" applyBorder="1"/>
    <xf numFmtId="0" fontId="10" fillId="0" borderId="15" xfId="0" applyFont="1" applyBorder="1"/>
    <xf numFmtId="0" fontId="94"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4" xfId="0" applyFont="1" applyBorder="1"/>
    <xf numFmtId="0" fontId="4" fillId="4" borderId="16" xfId="0" applyFont="1" applyFill="1" applyBorder="1" applyAlignment="1">
      <alignment horizontal="left"/>
    </xf>
    <xf numFmtId="0" fontId="4" fillId="4" borderId="16" xfId="0" applyFont="1" applyFill="1" applyBorder="1" applyAlignment="1">
      <alignment horizontal="left" vertical="center" wrapText="1"/>
    </xf>
    <xf numFmtId="0" fontId="36" fillId="0" borderId="8" xfId="0" applyFont="1" applyBorder="1"/>
    <xf numFmtId="0" fontId="50" fillId="0" borderId="9" xfId="0" applyFont="1" applyBorder="1"/>
    <xf numFmtId="169"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7" fillId="4" borderId="18" xfId="0" applyFont="1" applyFill="1" applyBorder="1" applyAlignment="1">
      <alignment horizontal="center" vertical="center"/>
    </xf>
    <xf numFmtId="0" fontId="33" fillId="23" borderId="22" xfId="8" applyFill="1" applyBorder="1" applyAlignment="1">
      <alignment horizontal="center"/>
    </xf>
    <xf numFmtId="0" fontId="33" fillId="25" borderId="22" xfId="8" applyFill="1" applyBorder="1" applyAlignment="1">
      <alignment horizontal="center"/>
    </xf>
    <xf numFmtId="0" fontId="33" fillId="26" borderId="23" xfId="8" applyFill="1" applyBorder="1" applyAlignment="1">
      <alignment horizontal="center"/>
    </xf>
    <xf numFmtId="0" fontId="33" fillId="14" borderId="22" xfId="8" applyFill="1" applyBorder="1" applyAlignment="1">
      <alignment horizontal="center"/>
    </xf>
    <xf numFmtId="0" fontId="33" fillId="23" borderId="24" xfId="8" applyFill="1" applyBorder="1" applyAlignment="1">
      <alignment horizontal="center"/>
    </xf>
    <xf numFmtId="0" fontId="33" fillId="11" borderId="26" xfId="8" applyFill="1" applyBorder="1" applyAlignment="1">
      <alignment horizontal="center"/>
    </xf>
    <xf numFmtId="0" fontId="33" fillId="27" borderId="23" xfId="8" applyFill="1" applyBorder="1" applyAlignment="1">
      <alignment horizont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66" xfId="0" applyFont="1" applyBorder="1" applyAlignment="1">
      <alignment horizontal="left"/>
    </xf>
    <xf numFmtId="0" fontId="4" fillId="0" borderId="42" xfId="0" applyFont="1" applyBorder="1" applyAlignment="1">
      <alignment horizontal="left"/>
    </xf>
    <xf numFmtId="0" fontId="4" fillId="0" borderId="44" xfId="0" applyFont="1" applyBorder="1" applyAlignment="1">
      <alignment horizontal="left"/>
    </xf>
    <xf numFmtId="0" fontId="4" fillId="0" borderId="45" xfId="0" applyFont="1" applyBorder="1" applyAlignment="1">
      <alignment horizontal="left"/>
    </xf>
    <xf numFmtId="1" fontId="10" fillId="0" borderId="61" xfId="2" applyNumberFormat="1" applyFont="1" applyFill="1" applyBorder="1" applyAlignment="1">
      <alignment horizontal="center" vertical="center"/>
    </xf>
    <xf numFmtId="1" fontId="10" fillId="0" borderId="52"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1" xfId="0" applyFont="1" applyFill="1" applyBorder="1" applyAlignment="1">
      <alignment wrapText="1"/>
    </xf>
    <xf numFmtId="0" fontId="18" fillId="0" borderId="42" xfId="4" applyFont="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Alignment="1">
      <alignment horizontal="center"/>
    </xf>
    <xf numFmtId="165" fontId="3" fillId="0" borderId="35" xfId="2" applyNumberFormat="1" applyFont="1" applyFill="1" applyBorder="1" applyAlignment="1">
      <alignment horizontal="center"/>
    </xf>
    <xf numFmtId="165" fontId="3" fillId="0" borderId="44" xfId="2" applyNumberFormat="1" applyFont="1" applyFill="1" applyBorder="1" applyAlignment="1">
      <alignment horizontal="center"/>
    </xf>
    <xf numFmtId="0" fontId="99" fillId="0" borderId="0" xfId="0" applyFont="1" applyAlignment="1">
      <alignment vertical="top"/>
    </xf>
    <xf numFmtId="4" fontId="3" fillId="11" borderId="0" xfId="0" applyNumberFormat="1" applyFont="1" applyFill="1" applyAlignment="1">
      <alignment horizontal="center"/>
    </xf>
    <xf numFmtId="4" fontId="3" fillId="0" borderId="0" xfId="4" applyNumberFormat="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Alignment="1">
      <alignment horizontal="left" vertical="center"/>
    </xf>
    <xf numFmtId="3" fontId="3" fillId="11" borderId="0" xfId="0" applyNumberFormat="1" applyFont="1" applyFill="1" applyAlignment="1">
      <alignment horizontal="center"/>
    </xf>
    <xf numFmtId="0" fontId="68" fillId="0" borderId="0" xfId="0" applyFont="1" applyAlignment="1">
      <alignment horizontal="center"/>
    </xf>
    <xf numFmtId="169" fontId="3" fillId="0" borderId="0" xfId="2" applyNumberFormat="1" applyFont="1" applyBorder="1" applyAlignment="1">
      <alignment horizontal="center" vertical="center"/>
    </xf>
    <xf numFmtId="0" fontId="45" fillId="0" borderId="8" xfId="0" applyFont="1" applyBorder="1" applyAlignment="1">
      <alignment horizontal="left"/>
    </xf>
    <xf numFmtId="0" fontId="42" fillId="0" borderId="3" xfId="4" applyFont="1" applyBorder="1" applyAlignment="1">
      <alignment horizontal="center"/>
    </xf>
    <xf numFmtId="0" fontId="40" fillId="0" borderId="0" xfId="0" applyFont="1" applyAlignment="1">
      <alignment horizontal="center"/>
    </xf>
    <xf numFmtId="166" fontId="29" fillId="0" borderId="0" xfId="2" applyNumberFormat="1" applyFont="1" applyFill="1" applyBorder="1" applyAlignment="1">
      <alignment horizontal="left"/>
    </xf>
    <xf numFmtId="172" fontId="29" fillId="0" borderId="0" xfId="0" applyNumberFormat="1" applyFont="1" applyAlignment="1">
      <alignment horizontal="left"/>
    </xf>
    <xf numFmtId="2" fontId="29" fillId="0" borderId="0" xfId="0" applyNumberFormat="1" applyFont="1" applyAlignment="1">
      <alignment horizontal="left"/>
    </xf>
    <xf numFmtId="187" fontId="3" fillId="0" borderId="0" xfId="2" applyNumberFormat="1" applyFont="1" applyFill="1" applyAlignment="1">
      <alignment horizontal="center"/>
    </xf>
    <xf numFmtId="165" fontId="3" fillId="5" borderId="0" xfId="2" applyNumberFormat="1" applyFont="1" applyFill="1" applyBorder="1" applyAlignment="1">
      <alignment horizontal="center"/>
    </xf>
    <xf numFmtId="2" fontId="0" fillId="0" borderId="0" xfId="0" applyNumberFormat="1" applyAlignment="1">
      <alignment horizontal="right"/>
    </xf>
    <xf numFmtId="186" fontId="0" fillId="0" borderId="0" xfId="9" applyNumberFormat="1" applyFont="1" applyAlignment="1">
      <alignment horizontal="right"/>
    </xf>
    <xf numFmtId="44" fontId="3" fillId="0" borderId="0" xfId="9" applyFont="1"/>
    <xf numFmtId="44" fontId="3" fillId="0" borderId="0" xfId="9" applyFont="1" applyBorder="1" applyAlignment="1">
      <alignment horizontal="center"/>
    </xf>
    <xf numFmtId="186" fontId="3" fillId="0" borderId="0" xfId="9" applyNumberFormat="1" applyFont="1" applyBorder="1"/>
    <xf numFmtId="186" fontId="3" fillId="0" borderId="0" xfId="9" applyNumberFormat="1" applyFont="1" applyBorder="1" applyAlignment="1">
      <alignment horizontal="center"/>
    </xf>
    <xf numFmtId="44" fontId="0" fillId="0" borderId="0" xfId="9" applyFont="1" applyAlignment="1">
      <alignment horizontal="center"/>
    </xf>
    <xf numFmtId="44" fontId="0" fillId="0" borderId="0" xfId="9" applyFont="1"/>
    <xf numFmtId="186" fontId="0" fillId="0" borderId="0" xfId="9" applyNumberFormat="1" applyFont="1" applyBorder="1"/>
    <xf numFmtId="186" fontId="0" fillId="0" borderId="0" xfId="9" applyNumberFormat="1" applyFont="1" applyAlignment="1">
      <alignment horizontal="center"/>
    </xf>
    <xf numFmtId="44" fontId="32" fillId="0" borderId="0" xfId="9" applyFont="1"/>
    <xf numFmtId="186" fontId="32" fillId="0" borderId="0" xfId="9" applyNumberFormat="1" applyFont="1"/>
    <xf numFmtId="186" fontId="3" fillId="0" borderId="0" xfId="9" applyNumberFormat="1" applyFont="1" applyFill="1" applyAlignment="1">
      <alignment horizontal="right"/>
    </xf>
    <xf numFmtId="43" fontId="3" fillId="0" borderId="0" xfId="2"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43" fontId="3" fillId="0" borderId="0" xfId="2" applyFont="1" applyBorder="1" applyAlignment="1">
      <alignment horizontal="right" vertical="center"/>
    </xf>
    <xf numFmtId="43" fontId="0" fillId="0" borderId="0" xfId="2" applyFont="1" applyAlignment="1">
      <alignment horizontal="right" vertical="center"/>
    </xf>
    <xf numFmtId="43" fontId="18" fillId="0" borderId="0" xfId="0" applyNumberFormat="1" applyFont="1" applyAlignment="1">
      <alignment horizontal="right" vertical="center"/>
    </xf>
    <xf numFmtId="43" fontId="3" fillId="0" borderId="0" xfId="2" applyFont="1" applyAlignment="1">
      <alignment horizontal="right" vertical="center"/>
    </xf>
    <xf numFmtId="43" fontId="0" fillId="0" borderId="0" xfId="0" applyNumberFormat="1" applyAlignment="1">
      <alignment horizontal="right" vertical="center"/>
    </xf>
    <xf numFmtId="1" fontId="22" fillId="0" borderId="0" xfId="0" applyNumberFormat="1" applyFont="1"/>
    <xf numFmtId="165" fontId="22" fillId="0" borderId="0" xfId="0" applyNumberFormat="1" applyFont="1"/>
    <xf numFmtId="171" fontId="3" fillId="0" borderId="0" xfId="2" applyNumberFormat="1" applyFont="1" applyAlignment="1">
      <alignment horizontal="right"/>
    </xf>
    <xf numFmtId="169" fontId="3" fillId="0" borderId="0" xfId="2" applyNumberFormat="1" applyFont="1" applyFill="1" applyBorder="1" applyAlignment="1">
      <alignment horizontal="center"/>
    </xf>
    <xf numFmtId="166" fontId="22" fillId="0" borderId="0" xfId="0" applyNumberFormat="1" applyFont="1"/>
    <xf numFmtId="173" fontId="3" fillId="0" borderId="0" xfId="2" applyNumberFormat="1" applyFont="1"/>
    <xf numFmtId="184" fontId="3" fillId="0" borderId="0" xfId="2" applyNumberFormat="1" applyFont="1"/>
    <xf numFmtId="170" fontId="29" fillId="0" borderId="0" xfId="2" applyNumberFormat="1" applyFont="1" applyFill="1"/>
    <xf numFmtId="169" fontId="3" fillId="0" borderId="0" xfId="2" applyNumberFormat="1" applyFont="1" applyFill="1" applyAlignment="1">
      <alignment horizontal="right"/>
    </xf>
    <xf numFmtId="170" fontId="22" fillId="0" borderId="0" xfId="2" applyNumberFormat="1" applyFont="1" applyFill="1"/>
    <xf numFmtId="165" fontId="0" fillId="5" borderId="18" xfId="0" applyNumberFormat="1" applyFill="1" applyBorder="1" applyAlignment="1">
      <alignment horizontal="center"/>
    </xf>
    <xf numFmtId="0" fontId="0" fillId="5" borderId="22" xfId="0" applyFill="1" applyBorder="1" applyAlignment="1">
      <alignment horizontal="center"/>
    </xf>
    <xf numFmtId="0" fontId="0" fillId="5" borderId="24" xfId="0" applyFill="1" applyBorder="1" applyAlignment="1">
      <alignment horizontal="center"/>
    </xf>
    <xf numFmtId="165" fontId="0" fillId="5" borderId="25" xfId="0" applyNumberFormat="1" applyFill="1" applyBorder="1" applyAlignment="1">
      <alignment horizontal="center"/>
    </xf>
    <xf numFmtId="0" fontId="0" fillId="12" borderId="0" xfId="0" applyFill="1" applyAlignment="1">
      <alignment horizontal="center"/>
    </xf>
    <xf numFmtId="0" fontId="3" fillId="5" borderId="35" xfId="0" applyFont="1" applyFill="1" applyBorder="1" applyAlignment="1">
      <alignment horizontal="center" vertical="center"/>
    </xf>
    <xf numFmtId="1" fontId="3" fillId="5" borderId="44" xfId="0" applyNumberFormat="1" applyFont="1" applyFill="1" applyBorder="1" applyAlignment="1">
      <alignment horizontal="center" vertical="center"/>
    </xf>
    <xf numFmtId="165" fontId="3" fillId="5" borderId="44" xfId="0" applyNumberFormat="1" applyFont="1" applyFill="1" applyBorder="1" applyAlignment="1">
      <alignment horizontal="center" vertical="center"/>
    </xf>
    <xf numFmtId="0" fontId="3" fillId="5" borderId="44" xfId="0" applyFont="1" applyFill="1" applyBorder="1" applyAlignment="1">
      <alignment horizontal="center" vertical="center"/>
    </xf>
    <xf numFmtId="0" fontId="3" fillId="5" borderId="45" xfId="0" applyFont="1" applyFill="1" applyBorder="1" applyAlignment="1">
      <alignment horizontal="center" vertical="center"/>
    </xf>
    <xf numFmtId="0" fontId="7" fillId="0" borderId="0" xfId="0" applyFont="1" applyAlignment="1">
      <alignment wrapText="1"/>
    </xf>
    <xf numFmtId="170" fontId="29" fillId="0" borderId="0" xfId="2" applyNumberFormat="1" applyFont="1"/>
    <xf numFmtId="10" fontId="3" fillId="0" borderId="0" xfId="3" applyNumberFormat="1" applyFont="1"/>
    <xf numFmtId="1" fontId="3" fillId="12" borderId="0" xfId="2" applyNumberFormat="1" applyFont="1" applyFill="1" applyAlignment="1">
      <alignment horizontal="center"/>
    </xf>
    <xf numFmtId="180" fontId="0" fillId="0" borderId="0" xfId="3" applyNumberFormat="1" applyFont="1" applyAlignment="1">
      <alignment horizontal="right"/>
    </xf>
    <xf numFmtId="180" fontId="0" fillId="0" borderId="0" xfId="3" applyNumberFormat="1" applyFont="1"/>
    <xf numFmtId="40" fontId="38" fillId="0" borderId="0" xfId="0" applyNumberFormat="1" applyFont="1"/>
    <xf numFmtId="2" fontId="3" fillId="0" borderId="0" xfId="4" applyNumberFormat="1" applyAlignment="1">
      <alignment horizontal="left"/>
    </xf>
    <xf numFmtId="2" fontId="0" fillId="0" borderId="0" xfId="4" applyNumberFormat="1" applyFont="1" applyAlignment="1">
      <alignment horizontal="left"/>
    </xf>
    <xf numFmtId="1" fontId="0" fillId="5" borderId="18" xfId="0" applyNumberFormat="1" applyFill="1" applyBorder="1" applyAlignment="1">
      <alignment horizontal="center"/>
    </xf>
    <xf numFmtId="1" fontId="3" fillId="5" borderId="18" xfId="0" applyNumberFormat="1" applyFont="1" applyFill="1" applyBorder="1" applyAlignment="1">
      <alignment horizontal="center"/>
    </xf>
    <xf numFmtId="4" fontId="29" fillId="0" borderId="0" xfId="0" applyNumberFormat="1" applyFont="1" applyAlignment="1">
      <alignment horizontal="left"/>
    </xf>
    <xf numFmtId="164" fontId="29" fillId="0" borderId="0" xfId="0" applyNumberFormat="1" applyFont="1" applyAlignment="1">
      <alignment horizontal="left"/>
    </xf>
    <xf numFmtId="165" fontId="3" fillId="10" borderId="18" xfId="0" applyNumberFormat="1" applyFont="1" applyFill="1" applyBorder="1" applyAlignment="1">
      <alignment horizontal="center" vertical="center" wrapText="1"/>
    </xf>
    <xf numFmtId="165" fontId="0" fillId="5" borderId="10" xfId="0" applyNumberFormat="1" applyFill="1" applyBorder="1" applyAlignment="1">
      <alignment horizontal="center"/>
    </xf>
    <xf numFmtId="165" fontId="0" fillId="5" borderId="56" xfId="0" applyNumberFormat="1" applyFill="1" applyBorder="1" applyAlignment="1">
      <alignment horizontal="center"/>
    </xf>
    <xf numFmtId="1" fontId="0" fillId="5" borderId="23" xfId="0" applyNumberFormat="1" applyFill="1" applyBorder="1" applyAlignment="1">
      <alignment horizontal="center"/>
    </xf>
    <xf numFmtId="1" fontId="0" fillId="5" borderId="26" xfId="0" applyNumberFormat="1" applyFill="1" applyBorder="1" applyAlignment="1">
      <alignment horizontal="center"/>
    </xf>
    <xf numFmtId="0" fontId="19" fillId="0" borderId="0" xfId="0" applyFont="1" applyAlignment="1">
      <alignment horizontal="left" indent="3"/>
    </xf>
    <xf numFmtId="179" fontId="3" fillId="0" borderId="0" xfId="2" applyNumberFormat="1" applyFont="1" applyFill="1" applyAlignment="1">
      <alignment horizontal="right"/>
    </xf>
    <xf numFmtId="38" fontId="3" fillId="0" borderId="0" xfId="2" applyNumberFormat="1" applyFont="1" applyFill="1" applyBorder="1" applyAlignment="1">
      <alignment horizontal="right"/>
    </xf>
    <xf numFmtId="170" fontId="21" fillId="0" borderId="0" xfId="2" applyNumberFormat="1" applyFont="1" applyAlignment="1">
      <alignment horizontal="center"/>
    </xf>
    <xf numFmtId="44" fontId="22" fillId="0" borderId="0" xfId="9" applyFont="1" applyBorder="1" applyAlignment="1">
      <alignment horizontal="center"/>
    </xf>
    <xf numFmtId="43" fontId="22" fillId="0" borderId="0" xfId="2" applyFont="1" applyAlignment="1">
      <alignment horizontal="center"/>
    </xf>
    <xf numFmtId="172" fontId="22" fillId="0" borderId="0" xfId="2" applyNumberFormat="1" applyFont="1" applyAlignment="1">
      <alignment horizontal="right"/>
    </xf>
    <xf numFmtId="172" fontId="22" fillId="0" borderId="0" xfId="2" applyNumberFormat="1" applyFont="1" applyBorder="1" applyAlignment="1">
      <alignment horizontal="center"/>
    </xf>
    <xf numFmtId="2" fontId="0" fillId="11" borderId="0" xfId="0" applyNumberFormat="1" applyFill="1" applyAlignment="1">
      <alignment horizontal="center"/>
    </xf>
    <xf numFmtId="1" fontId="18" fillId="0" borderId="0" xfId="0" applyNumberFormat="1" applyFont="1" applyAlignment="1">
      <alignment horizontal="center"/>
    </xf>
    <xf numFmtId="0" fontId="12" fillId="0" borderId="13" xfId="4" applyFont="1" applyBorder="1" applyAlignment="1">
      <alignment horizontal="center" vertical="center"/>
    </xf>
    <xf numFmtId="4" fontId="7" fillId="0" borderId="0" xfId="4" applyNumberFormat="1" applyFont="1" applyAlignment="1">
      <alignment horizontal="center"/>
    </xf>
    <xf numFmtId="2" fontId="3" fillId="10" borderId="0" xfId="4" applyNumberFormat="1" applyFill="1" applyAlignment="1">
      <alignment horizontal="center"/>
    </xf>
    <xf numFmtId="165" fontId="3" fillId="10" borderId="0" xfId="4" applyNumberFormat="1" applyFill="1" applyAlignment="1">
      <alignment horizontal="center"/>
    </xf>
    <xf numFmtId="4" fontId="3" fillId="10" borderId="0" xfId="4" applyNumberFormat="1" applyFill="1" applyAlignment="1">
      <alignment horizontal="center"/>
    </xf>
    <xf numFmtId="1" fontId="3" fillId="10" borderId="0" xfId="2" applyNumberFormat="1" applyFont="1" applyFill="1" applyBorder="1" applyAlignment="1">
      <alignment horizontal="center" vertical="center"/>
    </xf>
    <xf numFmtId="1" fontId="3" fillId="10" borderId="0" xfId="4" applyNumberFormat="1" applyFill="1" applyAlignment="1">
      <alignment horizontal="center"/>
    </xf>
    <xf numFmtId="0" fontId="0" fillId="0" borderId="5" xfId="0" applyBorder="1"/>
    <xf numFmtId="0" fontId="3" fillId="0" borderId="19" xfId="0" applyFont="1" applyBorder="1"/>
    <xf numFmtId="0" fontId="0" fillId="0" borderId="23" xfId="0" applyBorder="1" applyAlignment="1">
      <alignment horizontal="center"/>
    </xf>
    <xf numFmtId="2" fontId="3" fillId="0" borderId="6" xfId="4" applyNumberFormat="1" applyBorder="1" applyAlignment="1">
      <alignment horizontal="left"/>
    </xf>
    <xf numFmtId="181" fontId="3" fillId="10" borderId="0" xfId="9" applyNumberFormat="1" applyFont="1" applyFill="1" applyBorder="1" applyAlignment="1">
      <alignment horizontal="center" vertical="center"/>
    </xf>
    <xf numFmtId="0" fontId="50" fillId="12" borderId="18" xfId="0" applyFont="1" applyFill="1" applyBorder="1" applyAlignment="1">
      <alignment horizontal="center" vertical="center"/>
    </xf>
    <xf numFmtId="166" fontId="0" fillId="0" borderId="9" xfId="0" applyNumberFormat="1" applyBorder="1"/>
    <xf numFmtId="166" fontId="0" fillId="0" borderId="0" xfId="0" applyNumberFormat="1" applyAlignment="1">
      <alignment horizontal="right"/>
    </xf>
    <xf numFmtId="166" fontId="0" fillId="0" borderId="9" xfId="0" applyNumberFormat="1" applyBorder="1" applyAlignment="1">
      <alignment horizontal="right"/>
    </xf>
    <xf numFmtId="11" fontId="0" fillId="0" borderId="0" xfId="0" applyNumberFormat="1" applyAlignment="1">
      <alignment horizontal="center"/>
    </xf>
    <xf numFmtId="11" fontId="3" fillId="0" borderId="0" xfId="0" applyNumberFormat="1" applyFont="1" applyAlignment="1">
      <alignment horizontal="center"/>
    </xf>
    <xf numFmtId="3" fontId="3" fillId="0" borderId="0" xfId="0" applyNumberFormat="1" applyFont="1" applyAlignment="1">
      <alignment horizontal="left"/>
    </xf>
    <xf numFmtId="165" fontId="3" fillId="0" borderId="0" xfId="0" applyNumberFormat="1" applyFont="1" applyAlignment="1">
      <alignment horizontal="left"/>
    </xf>
    <xf numFmtId="0" fontId="33" fillId="0" borderId="0" xfId="8" applyFill="1" applyBorder="1" applyAlignment="1">
      <alignment horizontal="center"/>
    </xf>
    <xf numFmtId="38" fontId="0" fillId="0" borderId="0" xfId="2" applyNumberFormat="1" applyFont="1" applyFill="1" applyAlignment="1">
      <alignment horizontal="right"/>
    </xf>
    <xf numFmtId="0" fontId="6" fillId="0" borderId="0" xfId="0" applyFont="1" applyAlignment="1">
      <alignment horizontal="left"/>
    </xf>
    <xf numFmtId="0" fontId="18" fillId="20" borderId="2" xfId="4" applyFont="1" applyFill="1" applyBorder="1"/>
    <xf numFmtId="0" fontId="48" fillId="0" borderId="60" xfId="4" applyFont="1" applyBorder="1"/>
    <xf numFmtId="0" fontId="7" fillId="11" borderId="19" xfId="4" applyFont="1" applyFill="1" applyBorder="1" applyAlignment="1">
      <alignment horizontal="center" vertical="center"/>
    </xf>
    <xf numFmtId="0" fontId="7" fillId="11" borderId="17" xfId="4" applyFont="1" applyFill="1" applyBorder="1" applyAlignment="1">
      <alignment horizontal="center" vertical="center"/>
    </xf>
    <xf numFmtId="2" fontId="7" fillId="11" borderId="17" xfId="4" applyNumberFormat="1" applyFont="1" applyFill="1" applyBorder="1" applyAlignment="1">
      <alignment horizontal="center" vertical="center"/>
    </xf>
    <xf numFmtId="165" fontId="7" fillId="11" borderId="17" xfId="4" applyNumberFormat="1" applyFont="1" applyFill="1" applyBorder="1" applyAlignment="1">
      <alignment horizontal="center" vertical="center"/>
    </xf>
    <xf numFmtId="2" fontId="7" fillId="11" borderId="18" xfId="4" applyNumberFormat="1" applyFont="1" applyFill="1" applyBorder="1" applyAlignment="1">
      <alignment horizontal="center" vertical="center"/>
    </xf>
    <xf numFmtId="165" fontId="7" fillId="11" borderId="18" xfId="4" applyNumberFormat="1" applyFont="1" applyFill="1" applyBorder="1" applyAlignment="1">
      <alignment horizontal="center" vertical="center"/>
    </xf>
    <xf numFmtId="165" fontId="7" fillId="0" borderId="0" xfId="4" applyNumberFormat="1" applyFont="1" applyAlignment="1">
      <alignment horizontal="center" vertical="center"/>
    </xf>
    <xf numFmtId="1" fontId="7" fillId="11" borderId="18" xfId="4" applyNumberFormat="1" applyFont="1" applyFill="1" applyBorder="1" applyAlignment="1">
      <alignment horizontal="center" vertical="center"/>
    </xf>
    <xf numFmtId="181" fontId="7" fillId="0" borderId="0" xfId="4" applyNumberFormat="1" applyFont="1" applyAlignment="1">
      <alignment horizontal="center"/>
    </xf>
    <xf numFmtId="2" fontId="7" fillId="11" borderId="19" xfId="4" applyNumberFormat="1" applyFont="1" applyFill="1" applyBorder="1" applyAlignment="1">
      <alignment horizontal="center" vertical="center"/>
    </xf>
    <xf numFmtId="172" fontId="3" fillId="0" borderId="0" xfId="2" applyNumberFormat="1" applyFont="1" applyAlignment="1">
      <alignment horizontal="right"/>
    </xf>
    <xf numFmtId="0" fontId="3" fillId="0" borderId="10" xfId="0" applyFont="1" applyBorder="1"/>
    <xf numFmtId="0" fontId="3" fillId="0" borderId="10" xfId="0" applyFont="1" applyBorder="1" applyAlignment="1">
      <alignment horizontal="center"/>
    </xf>
    <xf numFmtId="0" fontId="3" fillId="0" borderId="49" xfId="0" applyFont="1" applyBorder="1"/>
    <xf numFmtId="0" fontId="3" fillId="0" borderId="49" xfId="0" applyFont="1" applyBorder="1" applyAlignment="1">
      <alignment horizontal="center"/>
    </xf>
    <xf numFmtId="0" fontId="7" fillId="0" borderId="49" xfId="0" applyFont="1" applyBorder="1" applyAlignment="1">
      <alignment horizontal="center"/>
    </xf>
    <xf numFmtId="2" fontId="4" fillId="0" borderId="16" xfId="0" applyNumberFormat="1" applyFont="1" applyBorder="1"/>
    <xf numFmtId="1" fontId="4" fillId="11" borderId="18" xfId="0" applyNumberFormat="1" applyFont="1" applyFill="1" applyBorder="1" applyAlignment="1">
      <alignment horizontal="center" vertical="center" wrapText="1"/>
    </xf>
    <xf numFmtId="1" fontId="47" fillId="4" borderId="18" xfId="0" applyNumberFormat="1" applyFont="1" applyFill="1" applyBorder="1" applyAlignment="1">
      <alignment horizontal="center" vertical="center"/>
    </xf>
    <xf numFmtId="0" fontId="3" fillId="0" borderId="15" xfId="0" applyFont="1" applyBorder="1"/>
    <xf numFmtId="0" fontId="3" fillId="0" borderId="14" xfId="0" applyFont="1" applyBorder="1"/>
    <xf numFmtId="0" fontId="0" fillId="0" borderId="3" xfId="0" applyBorder="1" applyAlignment="1">
      <alignment horizontal="center" vertical="center"/>
    </xf>
    <xf numFmtId="188" fontId="32" fillId="0" borderId="0" xfId="9" applyNumberFormat="1" applyFont="1"/>
    <xf numFmtId="170" fontId="3" fillId="0" borderId="0" xfId="2" applyNumberFormat="1" applyFont="1" applyAlignment="1">
      <alignment horizontal="left"/>
    </xf>
    <xf numFmtId="44" fontId="7" fillId="0" borderId="0" xfId="0" applyNumberFormat="1" applyFont="1"/>
    <xf numFmtId="188" fontId="3" fillId="0" borderId="0" xfId="9" applyNumberFormat="1" applyFont="1"/>
    <xf numFmtId="38" fontId="3" fillId="0" borderId="0" xfId="2" applyNumberFormat="1" applyFont="1"/>
    <xf numFmtId="189" fontId="0" fillId="0" borderId="0" xfId="2" applyNumberFormat="1" applyFont="1"/>
    <xf numFmtId="190" fontId="3" fillId="0" borderId="0" xfId="0" applyNumberFormat="1" applyFont="1"/>
    <xf numFmtId="186" fontId="0" fillId="0" borderId="0" xfId="2" applyNumberFormat="1" applyFont="1"/>
    <xf numFmtId="2" fontId="3" fillId="0" borderId="3" xfId="0" applyNumberFormat="1" applyFont="1" applyBorder="1" applyAlignment="1">
      <alignment horizontal="center" vertical="center"/>
    </xf>
    <xf numFmtId="0" fontId="87" fillId="0" borderId="0" xfId="0" applyFont="1" applyAlignment="1">
      <alignment vertical="center"/>
    </xf>
    <xf numFmtId="0" fontId="99" fillId="0" borderId="0" xfId="0" applyFont="1" applyAlignment="1">
      <alignment vertical="center"/>
    </xf>
    <xf numFmtId="2" fontId="3" fillId="11" borderId="0" xfId="2" applyNumberFormat="1" applyFont="1" applyFill="1" applyBorder="1" applyAlignment="1">
      <alignment horizontal="center"/>
    </xf>
    <xf numFmtId="0" fontId="10" fillId="0" borderId="18" xfId="0" applyFont="1" applyBorder="1" applyAlignment="1">
      <alignment horizontal="center"/>
    </xf>
    <xf numFmtId="44" fontId="0" fillId="0" borderId="18" xfId="9" applyFont="1" applyBorder="1"/>
    <xf numFmtId="0" fontId="7" fillId="0" borderId="38" xfId="4" applyFont="1" applyBorder="1"/>
    <xf numFmtId="0" fontId="10" fillId="0" borderId="19" xfId="0" applyFont="1" applyBorder="1"/>
    <xf numFmtId="0" fontId="7" fillId="0" borderId="22" xfId="4" applyFont="1" applyBorder="1"/>
    <xf numFmtId="0" fontId="3" fillId="0" borderId="22" xfId="4" applyBorder="1"/>
    <xf numFmtId="0" fontId="3" fillId="0" borderId="24" xfId="4" applyBorder="1"/>
    <xf numFmtId="44" fontId="0" fillId="0" borderId="25" xfId="9" applyFont="1" applyBorder="1"/>
    <xf numFmtId="0" fontId="10" fillId="0" borderId="22" xfId="0" applyFont="1" applyBorder="1" applyAlignment="1">
      <alignment horizontal="center"/>
    </xf>
    <xf numFmtId="0" fontId="10" fillId="0" borderId="19" xfId="0" applyFont="1" applyBorder="1" applyAlignment="1">
      <alignment horizontal="center"/>
    </xf>
    <xf numFmtId="0" fontId="10" fillId="0" borderId="21" xfId="0" applyFont="1" applyBorder="1"/>
    <xf numFmtId="0" fontId="10" fillId="0" borderId="23" xfId="0" applyFont="1" applyBorder="1"/>
    <xf numFmtId="44" fontId="10" fillId="0" borderId="18" xfId="9" applyFont="1" applyBorder="1"/>
    <xf numFmtId="0" fontId="10" fillId="0" borderId="19" xfId="0" applyFont="1" applyBorder="1" applyAlignment="1">
      <alignment horizontal="center" vertical="center"/>
    </xf>
    <xf numFmtId="0" fontId="10" fillId="0" borderId="18" xfId="0" applyFont="1" applyBorder="1" applyAlignment="1">
      <alignment horizontal="center" vertical="center"/>
    </xf>
    <xf numFmtId="0" fontId="18" fillId="0" borderId="67" xfId="4" applyFont="1" applyBorder="1"/>
    <xf numFmtId="0" fontId="18" fillId="0" borderId="10" xfId="4" applyFont="1" applyBorder="1"/>
    <xf numFmtId="0" fontId="18" fillId="0" borderId="56" xfId="4" applyFont="1" applyBorder="1"/>
    <xf numFmtId="166" fontId="10" fillId="0" borderId="18" xfId="0" applyNumberFormat="1" applyFont="1" applyBorder="1" applyAlignment="1">
      <alignment horizontal="center"/>
    </xf>
    <xf numFmtId="0" fontId="99" fillId="0" borderId="0" xfId="0" applyFont="1" applyAlignment="1">
      <alignment wrapText="1"/>
    </xf>
    <xf numFmtId="0" fontId="0" fillId="0" borderId="43" xfId="0" applyBorder="1"/>
    <xf numFmtId="0" fontId="0" fillId="0" borderId="58" xfId="0" applyBorder="1"/>
    <xf numFmtId="166" fontId="0" fillId="5" borderId="0" xfId="0" applyNumberFormat="1" applyFill="1" applyAlignment="1">
      <alignment horizontal="center"/>
    </xf>
    <xf numFmtId="0" fontId="3" fillId="0" borderId="38" xfId="0" applyFont="1" applyBorder="1" applyAlignment="1">
      <alignment horizontal="center"/>
    </xf>
    <xf numFmtId="0" fontId="7" fillId="0" borderId="21" xfId="0" applyFont="1" applyBorder="1"/>
    <xf numFmtId="0" fontId="0" fillId="0" borderId="24" xfId="0" applyBorder="1" applyAlignment="1">
      <alignment horizontal="center"/>
    </xf>
    <xf numFmtId="0" fontId="60" fillId="0" borderId="0" xfId="0" applyFont="1"/>
    <xf numFmtId="0" fontId="106" fillId="0" borderId="0" xfId="0" applyFont="1"/>
    <xf numFmtId="165" fontId="3" fillId="4" borderId="18" xfId="0" applyNumberFormat="1" applyFont="1" applyFill="1" applyBorder="1" applyAlignment="1">
      <alignment horizontal="center"/>
    </xf>
    <xf numFmtId="165" fontId="32" fillId="0" borderId="0" xfId="0" applyNumberFormat="1" applyFont="1"/>
    <xf numFmtId="37" fontId="3" fillId="5" borderId="0" xfId="0" applyNumberFormat="1" applyFont="1" applyFill="1" applyAlignment="1">
      <alignment horizontal="center"/>
    </xf>
    <xf numFmtId="39" fontId="3" fillId="5" borderId="0" xfId="0" applyNumberFormat="1" applyFont="1" applyFill="1" applyAlignment="1">
      <alignment horizontal="center"/>
    </xf>
    <xf numFmtId="2" fontId="32" fillId="0" borderId="0" xfId="0" applyNumberFormat="1" applyFont="1"/>
    <xf numFmtId="166" fontId="32" fillId="0" borderId="0" xfId="0" applyNumberFormat="1" applyFont="1"/>
    <xf numFmtId="187" fontId="3" fillId="5" borderId="0" xfId="0" applyNumberFormat="1" applyFont="1" applyFill="1" applyAlignment="1">
      <alignment horizontal="right"/>
    </xf>
    <xf numFmtId="0" fontId="27" fillId="0" borderId="0" xfId="0" applyFont="1" applyAlignment="1">
      <alignment horizontal="left" vertical="center"/>
    </xf>
    <xf numFmtId="0" fontId="0" fillId="0" borderId="0" xfId="0" applyAlignment="1">
      <alignment horizontal="left" vertical="center"/>
    </xf>
    <xf numFmtId="0" fontId="27" fillId="0" borderId="0" xfId="0" applyFont="1" applyAlignment="1">
      <alignment horizontal="left" vertical="center" wrapText="1"/>
    </xf>
    <xf numFmtId="44" fontId="3" fillId="0" borderId="0" xfId="5" applyFont="1"/>
    <xf numFmtId="186" fontId="3" fillId="0" borderId="0" xfId="5" applyNumberFormat="1" applyFont="1"/>
    <xf numFmtId="186" fontId="0" fillId="0" borderId="0" xfId="5" applyNumberFormat="1" applyFont="1"/>
    <xf numFmtId="0" fontId="107" fillId="0" borderId="0" xfId="0" applyFont="1" applyAlignment="1">
      <alignment vertical="center"/>
    </xf>
    <xf numFmtId="1" fontId="10" fillId="11" borderId="18" xfId="2" applyNumberFormat="1" applyFont="1" applyFill="1" applyBorder="1" applyAlignment="1">
      <alignment horizontal="center"/>
    </xf>
    <xf numFmtId="0" fontId="10" fillId="12" borderId="18" xfId="2" applyNumberFormat="1" applyFont="1" applyFill="1" applyBorder="1" applyAlignment="1">
      <alignment horizontal="center"/>
    </xf>
    <xf numFmtId="0" fontId="10" fillId="11" borderId="18" xfId="2" applyNumberFormat="1" applyFont="1" applyFill="1" applyBorder="1" applyAlignment="1">
      <alignment horizontal="center"/>
    </xf>
    <xf numFmtId="0" fontId="10" fillId="12" borderId="18" xfId="2" applyNumberFormat="1" applyFont="1" applyFill="1" applyBorder="1" applyAlignment="1">
      <alignment horizontal="center" vertical="center"/>
    </xf>
    <xf numFmtId="164" fontId="10" fillId="0" borderId="0" xfId="2" applyNumberFormat="1" applyFont="1" applyFill="1" applyBorder="1" applyAlignment="1">
      <alignment horizontal="center" vertical="center"/>
    </xf>
    <xf numFmtId="4" fontId="10" fillId="0" borderId="0" xfId="2" applyNumberFormat="1" applyFont="1" applyFill="1" applyBorder="1" applyAlignment="1">
      <alignment horizontal="center" vertical="center"/>
    </xf>
    <xf numFmtId="0" fontId="87" fillId="0" borderId="5" xfId="0" applyFont="1" applyBorder="1" applyAlignment="1">
      <alignment vertical="center"/>
    </xf>
    <xf numFmtId="0" fontId="87" fillId="0" borderId="2" xfId="0" applyFont="1" applyBorder="1" applyAlignment="1">
      <alignment vertical="center"/>
    </xf>
    <xf numFmtId="0" fontId="87" fillId="0" borderId="7" xfId="0" applyFont="1" applyBorder="1" applyAlignment="1">
      <alignment vertical="center"/>
    </xf>
    <xf numFmtId="0" fontId="7" fillId="0" borderId="0" xfId="0" applyFont="1" applyAlignment="1">
      <alignment horizontal="center"/>
    </xf>
    <xf numFmtId="2" fontId="7" fillId="0" borderId="0" xfId="0" applyNumberFormat="1" applyFont="1" applyAlignment="1">
      <alignment horizontal="center"/>
    </xf>
    <xf numFmtId="0" fontId="7" fillId="0" borderId="10" xfId="0" applyFont="1" applyBorder="1" applyAlignment="1">
      <alignment horizontal="center"/>
    </xf>
    <xf numFmtId="0" fontId="7" fillId="0" borderId="1" xfId="0" applyFont="1" applyBorder="1" applyAlignment="1">
      <alignment horizontal="center"/>
    </xf>
    <xf numFmtId="0" fontId="7" fillId="0" borderId="18" xfId="0" applyFont="1" applyBorder="1" applyAlignment="1">
      <alignment horizontal="center"/>
    </xf>
    <xf numFmtId="0" fontId="10" fillId="0" borderId="15" xfId="0" applyFont="1" applyBorder="1" applyAlignment="1">
      <alignment horizontal="center"/>
    </xf>
    <xf numFmtId="0" fontId="46" fillId="0" borderId="0" xfId="0" applyFont="1" applyAlignment="1">
      <alignment horizontal="center"/>
    </xf>
    <xf numFmtId="0" fontId="3" fillId="5" borderId="38" xfId="0" applyFont="1" applyFill="1" applyBorder="1" applyAlignment="1">
      <alignment horizontal="center"/>
    </xf>
    <xf numFmtId="0" fontId="3" fillId="5" borderId="19" xfId="0" applyFont="1" applyFill="1" applyBorder="1" applyAlignment="1">
      <alignment horizontal="center"/>
    </xf>
    <xf numFmtId="0" fontId="3" fillId="5" borderId="67" xfId="0" applyFont="1" applyFill="1" applyBorder="1" applyAlignment="1">
      <alignment horizontal="center"/>
    </xf>
    <xf numFmtId="0" fontId="3" fillId="5" borderId="21" xfId="0" applyFont="1" applyFill="1" applyBorder="1" applyAlignment="1">
      <alignment horizontal="center"/>
    </xf>
    <xf numFmtId="0" fontId="7" fillId="0" borderId="5" xfId="0" applyFont="1" applyBorder="1"/>
    <xf numFmtId="0" fontId="111" fillId="0" borderId="0" xfId="0" applyFont="1"/>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87" fillId="0" borderId="13" xfId="0" applyFont="1" applyBorder="1" applyAlignment="1">
      <alignment vertical="center"/>
    </xf>
    <xf numFmtId="0" fontId="87" fillId="0" borderId="15" xfId="0" applyFont="1" applyBorder="1" applyAlignment="1">
      <alignment vertical="center"/>
    </xf>
    <xf numFmtId="0" fontId="87" fillId="0" borderId="14" xfId="0" applyFont="1" applyBorder="1" applyAlignment="1">
      <alignment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0" fontId="87" fillId="0" borderId="5" xfId="0" applyFont="1" applyBorder="1" applyAlignment="1">
      <alignment vertical="center"/>
    </xf>
    <xf numFmtId="0" fontId="87" fillId="0" borderId="2" xfId="0" applyFont="1" applyBorder="1" applyAlignment="1">
      <alignment vertical="center"/>
    </xf>
    <xf numFmtId="0" fontId="87" fillId="0" borderId="7" xfId="0" applyFont="1" applyBorder="1" applyAlignment="1">
      <alignment vertical="center"/>
    </xf>
    <xf numFmtId="0" fontId="50" fillId="0" borderId="49" xfId="0" applyFont="1" applyBorder="1" applyAlignment="1">
      <alignment horizontal="center" vertical="top" wrapText="1"/>
    </xf>
    <xf numFmtId="0" fontId="50" fillId="0" borderId="0" xfId="0" applyFont="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49" fillId="13" borderId="5" xfId="0" applyFont="1" applyFill="1" applyBorder="1" applyAlignment="1">
      <alignment horizontal="center" vertical="center"/>
    </xf>
    <xf numFmtId="0" fontId="49" fillId="13" borderId="2" xfId="0" applyFont="1" applyFill="1" applyBorder="1" applyAlignment="1">
      <alignment horizontal="center" vertical="center"/>
    </xf>
    <xf numFmtId="2" fontId="12" fillId="7" borderId="53" xfId="0" applyNumberFormat="1" applyFont="1" applyFill="1" applyBorder="1" applyAlignment="1">
      <alignment horizontal="center"/>
    </xf>
    <xf numFmtId="2" fontId="12" fillId="7" borderId="54"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23" fillId="13" borderId="38"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38" xfId="0" applyFont="1" applyBorder="1" applyAlignment="1">
      <alignment horizontal="center"/>
    </xf>
    <xf numFmtId="0" fontId="4" fillId="0" borderId="35" xfId="0" applyFont="1" applyBorder="1" applyAlignment="1">
      <alignment horizontal="center"/>
    </xf>
    <xf numFmtId="0" fontId="7" fillId="11" borderId="47"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3" xfId="0" applyFont="1" applyFill="1" applyBorder="1" applyAlignment="1">
      <alignment horizontal="center"/>
    </xf>
    <xf numFmtId="0" fontId="7" fillId="12" borderId="56" xfId="0" applyFont="1" applyFill="1" applyBorder="1" applyAlignment="1">
      <alignment horizontal="center"/>
    </xf>
    <xf numFmtId="0" fontId="7" fillId="12" borderId="26" xfId="0" applyFont="1" applyFill="1" applyBorder="1" applyAlignment="1">
      <alignment horizontal="center"/>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43" fillId="0" borderId="5" xfId="4" applyFont="1" applyBorder="1" applyAlignment="1">
      <alignment horizontal="center" vertical="center" wrapText="1"/>
    </xf>
    <xf numFmtId="0" fontId="43" fillId="0" borderId="7" xfId="4" applyFont="1" applyBorder="1" applyAlignment="1">
      <alignment horizontal="center" vertical="center" wrapText="1"/>
    </xf>
    <xf numFmtId="0" fontId="42" fillId="5" borderId="13" xfId="4" applyFont="1" applyFill="1" applyBorder="1" applyAlignment="1">
      <alignment horizontal="left" wrapText="1"/>
    </xf>
    <xf numFmtId="0" fontId="42" fillId="5" borderId="15" xfId="4" applyFont="1" applyFill="1" applyBorder="1" applyAlignment="1">
      <alignment horizontal="left" wrapText="1"/>
    </xf>
    <xf numFmtId="0" fontId="42" fillId="5" borderId="14" xfId="4" applyFont="1" applyFill="1" applyBorder="1" applyAlignment="1">
      <alignment horizontal="left" wrapText="1"/>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59" xfId="0" applyFont="1" applyFill="1" applyBorder="1" applyAlignment="1">
      <alignment horizontal="center"/>
    </xf>
    <xf numFmtId="0" fontId="7" fillId="3" borderId="40" xfId="0" applyFont="1" applyFill="1" applyBorder="1" applyAlignment="1">
      <alignment horizontal="center"/>
    </xf>
    <xf numFmtId="0" fontId="7" fillId="3" borderId="51" xfId="0" applyFont="1" applyFill="1" applyBorder="1" applyAlignment="1">
      <alignment horizontal="center"/>
    </xf>
    <xf numFmtId="0" fontId="7" fillId="5" borderId="11" xfId="0" applyFont="1" applyFill="1" applyBorder="1" applyAlignment="1">
      <alignment horizontal="center"/>
    </xf>
    <xf numFmtId="0" fontId="7" fillId="5" borderId="52" xfId="0" applyFont="1" applyFill="1" applyBorder="1" applyAlignment="1">
      <alignment horizontal="center"/>
    </xf>
    <xf numFmtId="0" fontId="7" fillId="12" borderId="54" xfId="0" applyFont="1" applyFill="1" applyBorder="1" applyAlignment="1">
      <alignment horizontal="center"/>
    </xf>
    <xf numFmtId="0" fontId="7" fillId="12" borderId="57" xfId="0" applyFont="1" applyFill="1" applyBorder="1" applyAlignment="1">
      <alignment horizontal="center"/>
    </xf>
    <xf numFmtId="0" fontId="7" fillId="3" borderId="54" xfId="0" applyFont="1" applyFill="1" applyBorder="1" applyAlignment="1">
      <alignment horizontal="center"/>
    </xf>
    <xf numFmtId="0" fontId="7" fillId="3" borderId="55"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46" xfId="0" applyFont="1" applyBorder="1" applyAlignment="1">
      <alignment horizontal="center"/>
    </xf>
    <xf numFmtId="0" fontId="4" fillId="0" borderId="60"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2" fillId="13" borderId="12" xfId="0" applyFont="1" applyFill="1" applyBorder="1" applyAlignment="1">
      <alignment horizontal="center"/>
    </xf>
    <xf numFmtId="0" fontId="4" fillId="0" borderId="61" xfId="0" applyFont="1" applyBorder="1" applyAlignment="1">
      <alignment horizontal="center"/>
    </xf>
    <xf numFmtId="0" fontId="7" fillId="0" borderId="1"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38" xfId="0" applyFont="1" applyFill="1" applyBorder="1" applyAlignment="1">
      <alignment horizontal="center"/>
    </xf>
    <xf numFmtId="0" fontId="12" fillId="13" borderId="46" xfId="0" applyFont="1" applyFill="1" applyBorder="1" applyAlignment="1">
      <alignment horizontal="center"/>
    </xf>
    <xf numFmtId="0" fontId="7" fillId="12" borderId="50" xfId="0" applyFont="1" applyFill="1" applyBorder="1" applyAlignment="1">
      <alignment horizontal="center"/>
    </xf>
    <xf numFmtId="0" fontId="12" fillId="13" borderId="60" xfId="0" applyFont="1" applyFill="1" applyBorder="1" applyAlignment="1">
      <alignment horizontal="center"/>
    </xf>
    <xf numFmtId="0" fontId="12" fillId="13" borderId="61" xfId="0" applyFont="1" applyFill="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5" xfId="0" applyFont="1" applyFill="1" applyBorder="1" applyAlignment="1">
      <alignment horizontal="center"/>
    </xf>
    <xf numFmtId="0" fontId="0" fillId="4" borderId="18" xfId="0"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3" xfId="0" applyNumberFormat="1" applyFont="1" applyFill="1" applyBorder="1" applyAlignment="1">
      <alignment horizontal="center"/>
    </xf>
    <xf numFmtId="2" fontId="4" fillId="7" borderId="54" xfId="0" applyNumberFormat="1" applyFont="1" applyFill="1" applyBorder="1" applyAlignment="1">
      <alignment horizontal="center"/>
    </xf>
    <xf numFmtId="2" fontId="4" fillId="7" borderId="57" xfId="0" applyNumberFormat="1" applyFont="1" applyFill="1" applyBorder="1" applyAlignment="1">
      <alignment horizontal="center"/>
    </xf>
    <xf numFmtId="0" fontId="4" fillId="17" borderId="0" xfId="0" applyFont="1" applyFill="1" applyAlignment="1">
      <alignment horizontal="center"/>
    </xf>
    <xf numFmtId="2" fontId="4" fillId="7" borderId="45" xfId="0" applyNumberFormat="1" applyFont="1" applyFill="1" applyBorder="1" applyAlignment="1">
      <alignment horizontal="center"/>
    </xf>
    <xf numFmtId="0" fontId="7" fillId="5" borderId="50" xfId="0" applyFont="1" applyFill="1" applyBorder="1" applyAlignment="1">
      <alignment horizontal="center"/>
    </xf>
    <xf numFmtId="0" fontId="7" fillId="5" borderId="40" xfId="0" applyFont="1" applyFill="1" applyBorder="1" applyAlignment="1">
      <alignment horizontal="center"/>
    </xf>
    <xf numFmtId="0" fontId="7" fillId="5" borderId="64" xfId="0" applyFont="1" applyFill="1" applyBorder="1" applyAlignment="1">
      <alignment horizontal="center"/>
    </xf>
    <xf numFmtId="0" fontId="7" fillId="12" borderId="34"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46"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xf numFmtId="0" fontId="3" fillId="22" borderId="28" xfId="0" applyFont="1" applyFill="1" applyBorder="1" applyAlignment="1">
      <alignment horizontal="center"/>
    </xf>
    <xf numFmtId="0" fontId="3" fillId="22" borderId="29"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cellXfs>
  <cellStyles count="11">
    <cellStyle name="Accent6" xfId="7" builtinId="49"/>
    <cellStyle name="Comma" xfId="2" builtinId="3"/>
    <cellStyle name="Currency" xfId="9" builtinId="4"/>
    <cellStyle name="Currency 2" xfId="5" xr:uid="{00000000-0005-0000-0000-000003000000}"/>
    <cellStyle name="Hyperlink" xfId="8" builtinId="8"/>
    <cellStyle name="Normal" xfId="0" builtinId="0"/>
    <cellStyle name="Normal 2" xfId="4" xr:uid="{00000000-0005-0000-0000-000006000000}"/>
    <cellStyle name="Normal 3" xfId="6" xr:uid="{00000000-0005-0000-0000-000007000000}"/>
    <cellStyle name="Normal 3 2" xfId="10" xr:uid="{00000000-0005-0000-0000-000008000000}"/>
    <cellStyle name="Percent" xfId="3" builtinId="5"/>
    <cellStyle name="RowLevel_1" xfId="1" builtinId="1" iLevel="0"/>
  </cellStyles>
  <dxfs count="781">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2" formatCode="&quot;$&quot;#,##0"/>
    </dxf>
    <dxf>
      <font>
        <color theme="0" tint="-0.14996795556505021"/>
      </font>
      <fill>
        <patternFill>
          <bgColor theme="0" tint="-0.14996795556505021"/>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0000"/>
        </patternFill>
      </fill>
    </dxf>
    <dxf>
      <font>
        <b/>
        <i val="0"/>
        <strike val="0"/>
        <color rgb="FF00B050"/>
      </font>
    </dxf>
    <dxf>
      <font>
        <b/>
        <i val="0"/>
        <color rgb="FFFF0000"/>
      </font>
    </dxf>
    <dxf>
      <font>
        <b/>
        <i val="0"/>
        <strike val="0"/>
        <color rgb="FF00B050"/>
      </font>
    </dxf>
    <dxf>
      <font>
        <b/>
        <i val="0"/>
        <color rgb="FFFFC000"/>
      </font>
    </dxf>
    <dxf>
      <numFmt numFmtId="181" formatCode="&quot;$&quot;#,##0.00"/>
    </dxf>
    <dxf>
      <numFmt numFmtId="191" formatCode="0.000E+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fill>
        <patternFill>
          <bgColor rgb="FFFF0000"/>
        </patternFill>
      </fill>
    </dxf>
    <dxf>
      <fill>
        <patternFill>
          <bgColor rgb="FFFF0000"/>
        </patternFill>
      </fill>
    </dxf>
    <dxf>
      <fill>
        <patternFill>
          <bgColor rgb="FFFF0000"/>
        </patternFill>
      </fill>
    </dxf>
    <dxf>
      <numFmt numFmtId="182" formatCode="&quot;$&quot;#,##0"/>
    </dxf>
    <dxf>
      <font>
        <color theme="0" tint="-0.24994659260841701"/>
      </font>
      <fill>
        <patternFill>
          <bgColor theme="0" tint="-0.24994659260841701"/>
        </patternFill>
      </fill>
      <border>
        <left/>
        <right/>
        <top style="thin">
          <color auto="1"/>
        </top>
        <bottom style="thin">
          <color auto="1"/>
        </bottom>
        <vertical/>
        <horizontal/>
      </border>
    </dxf>
    <dxf>
      <font>
        <color theme="0" tint="-0.14996795556505021"/>
      </font>
      <fill>
        <patternFill patternType="solid">
          <bgColor theme="0" tint="-0.14996795556505021"/>
        </patternFill>
      </fill>
      <border>
        <left/>
        <right/>
        <top/>
        <bottom/>
      </border>
    </dxf>
    <dxf>
      <fill>
        <patternFill>
          <bgColor rgb="FFFF0000"/>
        </patternFill>
      </fill>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99FF"/>
      <color rgb="FFFFFF99"/>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Dashboard!$C$157</c:f>
              <c:strCache>
                <c:ptCount val="1"/>
                <c:pt idx="0">
                  <c:v>Pack cost, $/kWh</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Dashboard!$D$156:$J$156</c:f>
              <c:numCache>
                <c:formatCode>#,##0</c:formatCode>
                <c:ptCount val="7"/>
                <c:pt idx="0">
                  <c:v>1</c:v>
                </c:pt>
                <c:pt idx="1">
                  <c:v>2</c:v>
                </c:pt>
                <c:pt idx="2">
                  <c:v>3</c:v>
                </c:pt>
                <c:pt idx="3">
                  <c:v>4</c:v>
                </c:pt>
                <c:pt idx="4">
                  <c:v>5</c:v>
                </c:pt>
                <c:pt idx="5">
                  <c:v>6</c:v>
                </c:pt>
                <c:pt idx="6">
                  <c:v>7</c:v>
                </c:pt>
              </c:numCache>
            </c:numRef>
          </c:xVal>
          <c:yVal>
            <c:numRef>
              <c:f>Dashboard!$D$157:$J$157</c:f>
              <c:numCache>
                <c:formatCode>#,##0</c:formatCode>
                <c:ptCount val="7"/>
                <c:pt idx="0">
                  <c:v>123.27929746916907</c:v>
                </c:pt>
                <c:pt idx="1">
                  <c:v>123.27929746916907</c:v>
                </c:pt>
                <c:pt idx="2">
                  <c:v>123.27929746916907</c:v>
                </c:pt>
                <c:pt idx="3">
                  <c:v>123.27929746916907</c:v>
                </c:pt>
                <c:pt idx="4">
                  <c:v>123.27929746916907</c:v>
                </c:pt>
                <c:pt idx="5">
                  <c:v>123.27929746916907</c:v>
                </c:pt>
                <c:pt idx="6">
                  <c:v>123.27929746916907</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Dashboard!$C$158</c:f>
              <c:strCache>
                <c:ptCount val="1"/>
                <c:pt idx="0">
                  <c:v>Pack specific energy, Wh/kg</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Dashboard!$D$156:$J$156</c:f>
              <c:numCache>
                <c:formatCode>#,##0</c:formatCode>
                <c:ptCount val="7"/>
                <c:pt idx="0">
                  <c:v>1</c:v>
                </c:pt>
                <c:pt idx="1">
                  <c:v>2</c:v>
                </c:pt>
                <c:pt idx="2">
                  <c:v>3</c:v>
                </c:pt>
                <c:pt idx="3">
                  <c:v>4</c:v>
                </c:pt>
                <c:pt idx="4">
                  <c:v>5</c:v>
                </c:pt>
                <c:pt idx="5">
                  <c:v>6</c:v>
                </c:pt>
                <c:pt idx="6">
                  <c:v>7</c:v>
                </c:pt>
              </c:numCache>
            </c:numRef>
          </c:xVal>
          <c:yVal>
            <c:numRef>
              <c:f>Dashboard!$D$158:$J$158</c:f>
              <c:numCache>
                <c:formatCode>#,##0</c:formatCode>
                <c:ptCount val="7"/>
                <c:pt idx="0">
                  <c:v>171.83678014154691</c:v>
                </c:pt>
                <c:pt idx="1">
                  <c:v>171.83678014154691</c:v>
                </c:pt>
                <c:pt idx="2">
                  <c:v>171.83678014154691</c:v>
                </c:pt>
                <c:pt idx="3">
                  <c:v>171.83678014154691</c:v>
                </c:pt>
                <c:pt idx="4">
                  <c:v>171.83678014154691</c:v>
                </c:pt>
                <c:pt idx="5">
                  <c:v>171.83678014154691</c:v>
                </c:pt>
                <c:pt idx="6">
                  <c:v>171.83678014154691</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Dashboard!$D$154</c:f>
              <c:strCache>
                <c:ptCount val="1"/>
                <c:pt idx="0">
                  <c:v>Battery Number</c:v>
                </c:pt>
              </c:strCache>
            </c:strRef>
          </c:tx>
          <c:layout>
            <c:manualLayout>
              <c:xMode val="edge"/>
              <c:yMode val="edge"/>
              <c:x val="0.3301627465346153"/>
              <c:y val="0.90801643626689599"/>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Dashboard!$F$154</c:f>
              <c:strCache>
                <c:ptCount val="1"/>
                <c:pt idx="0">
                  <c:v>Pack cost, $/kWh</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Dashboard!$H$154</c:f>
              <c:strCache>
                <c:ptCount val="1"/>
                <c:pt idx="0">
                  <c:v>Pack specific energy, Wh/kg</c:v>
                </c:pt>
              </c:strCache>
            </c:strRef>
          </c:tx>
          <c:layout>
            <c:manualLayout>
              <c:xMode val="edge"/>
              <c:yMode val="edge"/>
              <c:x val="0.90850942881311214"/>
              <c:y val="0.3318908584867736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Dashboard!$AD$217</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Dashboard!$AE$216:$AK$216</c:f>
              <c:numCache>
                <c:formatCode>General</c:formatCode>
                <c:ptCount val="7"/>
              </c:numCache>
            </c:numRef>
          </c:xVal>
          <c:yVal>
            <c:numRef>
              <c:f>Dashboard!$AE$217:$AK$217</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Dashboard!$AC$218:$AD$218</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Dashboard!$AE$216:$AK$216</c:f>
              <c:numCache>
                <c:formatCode>General</c:formatCode>
                <c:ptCount val="7"/>
              </c:numCache>
            </c:numRef>
          </c:xVal>
          <c:yVal>
            <c:numRef>
              <c:f>Dashboard!$AE$218:$AK$218</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Dashboard!$AD$219</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Dashboard!$AE$216:$AK$216</c:f>
              <c:numCache>
                <c:formatCode>General</c:formatCode>
                <c:ptCount val="7"/>
              </c:numCache>
            </c:numRef>
          </c:xVal>
          <c:yVal>
            <c:numRef>
              <c:f>Dashboard!$AE$219:$AK$219</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Dashboard!$AD$220</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Dashboard!$AE$216:$AK$216</c:f>
              <c:numCache>
                <c:formatCode>General</c:formatCode>
                <c:ptCount val="7"/>
              </c:numCache>
            </c:numRef>
          </c:xVal>
          <c:yVal>
            <c:numRef>
              <c:f>Dashboard!$AE$220:$AK$220</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Breakdown'!$B$46:$B$57</c:f>
              <c:strCache>
                <c:ptCount val="12"/>
                <c:pt idx="0">
                  <c:v>Total cost of materials</c:v>
                </c:pt>
                <c:pt idx="1">
                  <c:v>Total cost of purchased items</c:v>
                </c:pt>
                <c:pt idx="2">
                  <c:v>Total cost of battery management system</c:v>
                </c:pt>
                <c:pt idx="3">
                  <c:v>Total cost of direct labor</c:v>
                </c:pt>
                <c:pt idx="4">
                  <c:v>Total cost of energy</c:v>
                </c:pt>
                <c:pt idx="5">
                  <c:v>Total cost of variable overhead</c:v>
                </c:pt>
                <c:pt idx="6">
                  <c:v>Total cost of depreciation</c:v>
                </c:pt>
                <c:pt idx="7">
                  <c:v>Total cost of general, sales, administration</c:v>
                </c:pt>
                <c:pt idx="8">
                  <c:v>Total cost of research and development</c:v>
                </c:pt>
                <c:pt idx="9">
                  <c:v>Total cost of financing</c:v>
                </c:pt>
                <c:pt idx="10">
                  <c:v>Per unit profit</c:v>
                </c:pt>
                <c:pt idx="11">
                  <c:v>Warranty (includes battery pack(s) only)</c:v>
                </c:pt>
              </c:strCache>
            </c:strRef>
          </c:cat>
          <c:val>
            <c:numRef>
              <c:f>'Cost Breakdown'!$G$46:$G$57</c:f>
              <c:numCache>
                <c:formatCode>_("$"* #,##0_);_("$"* \(#,##0\);_("$"* "-"??_);_(@_)</c:formatCode>
                <c:ptCount val="12"/>
                <c:pt idx="0">
                  <c:v>7563.718956439493</c:v>
                </c:pt>
                <c:pt idx="1">
                  <c:v>1471.4331303157039</c:v>
                </c:pt>
                <c:pt idx="2">
                  <c:v>354.3728995446063</c:v>
                </c:pt>
                <c:pt idx="3">
                  <c:v>182.14114727876125</c:v>
                </c:pt>
                <c:pt idx="4">
                  <c:v>153.75302778805985</c:v>
                </c:pt>
                <c:pt idx="5">
                  <c:v>252.34989933943979</c:v>
                </c:pt>
                <c:pt idx="6">
                  <c:v>657.77396076647403</c:v>
                </c:pt>
                <c:pt idx="7">
                  <c:v>175.93280181502601</c:v>
                </c:pt>
                <c:pt idx="8">
                  <c:v>230.22088626826596</c:v>
                </c:pt>
                <c:pt idx="9">
                  <c:v>82.49728527944697</c:v>
                </c:pt>
                <c:pt idx="10">
                  <c:v>549.98190186297984</c:v>
                </c:pt>
                <c:pt idx="11">
                  <c:v>653.75385021510226</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Breakdown'!$B$27:$B$40</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Breakdown'!$G$27:$G$40</c:f>
              <c:numCache>
                <c:formatCode>_("$"* #,##0_);_("$"* \(#,##0\);_("$"* "-"??_);_(@_)</c:formatCode>
                <c:ptCount val="14"/>
                <c:pt idx="0">
                  <c:v>5036.8425880690374</c:v>
                </c:pt>
                <c:pt idx="1">
                  <c:v>864.71617813993259</c:v>
                </c:pt>
                <c:pt idx="2">
                  <c:v>62.409543127553</c:v>
                </c:pt>
                <c:pt idx="3">
                  <c:v>71.871512186088012</c:v>
                </c:pt>
                <c:pt idx="4">
                  <c:v>149.34220988656816</c:v>
                </c:pt>
                <c:pt idx="5">
                  <c:v>61.505325395187342</c:v>
                </c:pt>
                <c:pt idx="6">
                  <c:v>391.49219295501575</c:v>
                </c:pt>
                <c:pt idx="7">
                  <c:v>466.06942664422854</c:v>
                </c:pt>
                <c:pt idx="8">
                  <c:v>459.46998003588203</c:v>
                </c:pt>
                <c:pt idx="9">
                  <c:v>0</c:v>
                </c:pt>
                <c:pt idx="10">
                  <c:v>234.40436986524836</c:v>
                </c:pt>
                <c:pt idx="11">
                  <c:v>770.23172955491884</c:v>
                </c:pt>
                <c:pt idx="12">
                  <c:v>466.79703089553675</c:v>
                </c:pt>
                <c:pt idx="13">
                  <c:v>354.3728995446063</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Breakdown'!$B$108:$B$112</c:f>
              <c:strCache>
                <c:ptCount val="5"/>
                <c:pt idx="0">
                  <c:v>Materials</c:v>
                </c:pt>
                <c:pt idx="1">
                  <c:v>Purchased items</c:v>
                </c:pt>
                <c:pt idx="2">
                  <c:v>BMS</c:v>
                </c:pt>
                <c:pt idx="3">
                  <c:v>Labor</c:v>
                </c:pt>
                <c:pt idx="4">
                  <c:v>Capital Equipment and Building</c:v>
                </c:pt>
              </c:strCache>
            </c:strRef>
          </c:cat>
          <c:val>
            <c:numRef>
              <c:f>'Cost Breakdown'!$G$108:$G$112</c:f>
              <c:numCache>
                <c:formatCode>_("$"* #,##0_);_("$"* \(#,##0\);_("$"* "-"??_);_(@_)</c:formatCode>
                <c:ptCount val="5"/>
                <c:pt idx="0">
                  <c:v>8079.1410210133599</c:v>
                </c:pt>
                <c:pt idx="1">
                  <c:v>1571.7024695481928</c:v>
                </c:pt>
                <c:pt idx="2">
                  <c:v>378.521286411174</c:v>
                </c:pt>
                <c:pt idx="3">
                  <c:v>339.96280857286223</c:v>
                </c:pt>
                <c:pt idx="4">
                  <c:v>1793.4000978079298</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Breakdown'!$B$108:$B$112</c:f>
              <c:strCache>
                <c:ptCount val="5"/>
                <c:pt idx="0">
                  <c:v>Materials</c:v>
                </c:pt>
                <c:pt idx="1">
                  <c:v>Purchased items</c:v>
                </c:pt>
                <c:pt idx="2">
                  <c:v>BMS</c:v>
                </c:pt>
                <c:pt idx="3">
                  <c:v>Labor</c:v>
                </c:pt>
                <c:pt idx="4">
                  <c:v>Capital Equipment and Building</c:v>
                </c:pt>
              </c:strCache>
            </c:strRef>
          </c:cat>
          <c:val>
            <c:numRef>
              <c:f>'Cost Breakdown'!$M$108:$M$112</c:f>
              <c:numCache>
                <c:formatCode>_("$"* #,##0_);_("$"* \(#,##0\);_("$"* "-"??_);_(@_)</c:formatCode>
                <c:ptCount val="5"/>
                <c:pt idx="0">
                  <c:v>8079.1410210133599</c:v>
                </c:pt>
                <c:pt idx="1">
                  <c:v>1571.7024695481928</c:v>
                </c:pt>
                <c:pt idx="2">
                  <c:v>378.521286411174</c:v>
                </c:pt>
                <c:pt idx="3">
                  <c:v>339.96280857286223</c:v>
                </c:pt>
                <c:pt idx="4">
                  <c:v>1793.4000978079298</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Breakdown'!$B$118:$B$120,'Cost Breakdown'!$B$123:$B$129)</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Breakdown'!$G$118:$G$120,'Cost Breakdown'!$G$123:$G$129)</c:f>
              <c:numCache>
                <c:formatCode>_("$"* #,##0_);_("$"* \(#,##0\);_("$"* "-"??_);_(@_)</c:formatCode>
                <c:ptCount val="10"/>
                <c:pt idx="0">
                  <c:v>8079.1410210071072</c:v>
                </c:pt>
                <c:pt idx="1">
                  <c:v>1571.7024695479377</c:v>
                </c:pt>
                <c:pt idx="2">
                  <c:v>378.521286411174</c:v>
                </c:pt>
                <c:pt idx="3">
                  <c:v>442.66267252176266</c:v>
                </c:pt>
                <c:pt idx="4">
                  <c:v>373.68421801877275</c:v>
                </c:pt>
                <c:pt idx="5">
                  <c:v>495.06910577063866</c:v>
                </c:pt>
                <c:pt idx="6">
                  <c:v>74.958297256511273</c:v>
                </c:pt>
                <c:pt idx="7">
                  <c:v>67.817509889338723</c:v>
                </c:pt>
                <c:pt idx="8">
                  <c:v>89.327382925612696</c:v>
                </c:pt>
                <c:pt idx="9">
                  <c:v>754.54088830416958</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Breakdown'!$B$46:$B$57</c:f>
              <c:strCache>
                <c:ptCount val="12"/>
                <c:pt idx="0">
                  <c:v>Total cost of materials</c:v>
                </c:pt>
                <c:pt idx="1">
                  <c:v>Total cost of purchased items</c:v>
                </c:pt>
                <c:pt idx="2">
                  <c:v>Total cost of battery management system</c:v>
                </c:pt>
                <c:pt idx="3">
                  <c:v>Total cost of direct labor</c:v>
                </c:pt>
                <c:pt idx="4">
                  <c:v>Total cost of energy</c:v>
                </c:pt>
                <c:pt idx="5">
                  <c:v>Total cost of variable overhead</c:v>
                </c:pt>
                <c:pt idx="6">
                  <c:v>Total cost of depreciation</c:v>
                </c:pt>
                <c:pt idx="7">
                  <c:v>Total cost of general, sales, administration</c:v>
                </c:pt>
                <c:pt idx="8">
                  <c:v>Total cost of research and development</c:v>
                </c:pt>
                <c:pt idx="9">
                  <c:v>Total cost of financing</c:v>
                </c:pt>
                <c:pt idx="10">
                  <c:v>Per unit profit</c:v>
                </c:pt>
                <c:pt idx="11">
                  <c:v>Warranty (includes battery pack(s) only)</c:v>
                </c:pt>
              </c:strCache>
            </c:strRef>
          </c:cat>
          <c:val>
            <c:numRef>
              <c:f>'Cost Breakdown'!$M$46:$M$57</c:f>
              <c:numCache>
                <c:formatCode>_("$"* #,##0_);_("$"* \(#,##0\);_("$"* "-"??_);_(@_)</c:formatCode>
                <c:ptCount val="12"/>
                <c:pt idx="0">
                  <c:v>7563.718956439493</c:v>
                </c:pt>
                <c:pt idx="1">
                  <c:v>1471.4331303157039</c:v>
                </c:pt>
                <c:pt idx="2">
                  <c:v>354.3728995446063</c:v>
                </c:pt>
                <c:pt idx="3">
                  <c:v>182.14114727876125</c:v>
                </c:pt>
                <c:pt idx="4">
                  <c:v>153.75302778805985</c:v>
                </c:pt>
                <c:pt idx="5">
                  <c:v>252.34989933943979</c:v>
                </c:pt>
                <c:pt idx="6">
                  <c:v>657.77396076647403</c:v>
                </c:pt>
                <c:pt idx="7">
                  <c:v>175.93280181502601</c:v>
                </c:pt>
                <c:pt idx="8">
                  <c:v>230.22088626826596</c:v>
                </c:pt>
                <c:pt idx="9">
                  <c:v>82.49728527944697</c:v>
                </c:pt>
                <c:pt idx="10">
                  <c:v>549.98190186297984</c:v>
                </c:pt>
                <c:pt idx="11">
                  <c:v>653.75385021510226</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Breakdown'!$B$27:$B$40</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Breakdown'!$M$27:$M$40</c:f>
              <c:numCache>
                <c:formatCode>_("$"* #,##0_);_("$"* \(#,##0\);_("$"* "-"??_);_(@_)</c:formatCode>
                <c:ptCount val="14"/>
                <c:pt idx="0">
                  <c:v>5036.8425880690374</c:v>
                </c:pt>
                <c:pt idx="1">
                  <c:v>864.71617813993259</c:v>
                </c:pt>
                <c:pt idx="2">
                  <c:v>62.409543127553</c:v>
                </c:pt>
                <c:pt idx="3">
                  <c:v>71.871512186088012</c:v>
                </c:pt>
                <c:pt idx="4">
                  <c:v>149.34220988656816</c:v>
                </c:pt>
                <c:pt idx="5">
                  <c:v>61.505325395187342</c:v>
                </c:pt>
                <c:pt idx="6">
                  <c:v>391.49219295501575</c:v>
                </c:pt>
                <c:pt idx="7">
                  <c:v>466.06942664422854</c:v>
                </c:pt>
                <c:pt idx="8">
                  <c:v>459.46998003588203</c:v>
                </c:pt>
                <c:pt idx="9">
                  <c:v>0</c:v>
                </c:pt>
                <c:pt idx="10">
                  <c:v>234.40436986524836</c:v>
                </c:pt>
                <c:pt idx="11">
                  <c:v>770.23172955491884</c:v>
                </c:pt>
                <c:pt idx="12">
                  <c:v>466.79703089553675</c:v>
                </c:pt>
                <c:pt idx="13">
                  <c:v>354.3728995446063</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Breakdown'!$B$118:$B$120,'Cost Breakdown'!$B$123:$B$129)</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Breakdown'!$M$118:$M$120,'Cost Breakdown'!$M$123:$M$129)</c:f>
              <c:numCache>
                <c:formatCode>_("$"* #,##0_);_("$"* \(#,##0\);_("$"* "-"??_);_(@_)</c:formatCode>
                <c:ptCount val="10"/>
                <c:pt idx="0">
                  <c:v>8079.1410210071072</c:v>
                </c:pt>
                <c:pt idx="1">
                  <c:v>1571.7024695479377</c:v>
                </c:pt>
                <c:pt idx="2">
                  <c:v>378.521286411174</c:v>
                </c:pt>
                <c:pt idx="3">
                  <c:v>442.66267252176266</c:v>
                </c:pt>
                <c:pt idx="4">
                  <c:v>373.68421801877275</c:v>
                </c:pt>
                <c:pt idx="5">
                  <c:v>495.06910577063866</c:v>
                </c:pt>
                <c:pt idx="6">
                  <c:v>74.958297256511273</c:v>
                </c:pt>
                <c:pt idx="7">
                  <c:v>67.817509889338723</c:v>
                </c:pt>
                <c:pt idx="8">
                  <c:v>89.327382925612696</c:v>
                </c:pt>
                <c:pt idx="9">
                  <c:v>754.54088830416958</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3.0885078977859246</c:v>
                </c:pt>
                <c:pt idx="1">
                  <c:v>3.5262987203432363</c:v>
                </c:pt>
                <c:pt idx="2">
                  <c:v>3.5899318380555121</c:v>
                </c:pt>
                <c:pt idx="3">
                  <c:v>3.6394255775301674</c:v>
                </c:pt>
                <c:pt idx="4">
                  <c:v>3.6639131806503222</c:v>
                </c:pt>
                <c:pt idx="5">
                  <c:v>3.7054015252771344</c:v>
                </c:pt>
                <c:pt idx="6">
                  <c:v>3.7720620640260716</c:v>
                </c:pt>
                <c:pt idx="7">
                  <c:v>3.8801601185595205</c:v>
                </c:pt>
                <c:pt idx="8">
                  <c:v>3.9930237299119029</c:v>
                </c:pt>
                <c:pt idx="9">
                  <c:v>4.1167203030658275</c:v>
                </c:pt>
                <c:pt idx="10">
                  <c:v>4.25</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0.61996345912145823</c:v>
                </c:pt>
                <c:pt idx="1">
                  <c:v>0.20050078804409174</c:v>
                </c:pt>
                <c:pt idx="2">
                  <c:v>0.1502918374491731</c:v>
                </c:pt>
                <c:pt idx="3">
                  <c:v>0.11730566373146635</c:v>
                </c:pt>
                <c:pt idx="4">
                  <c:v>0.11042453997140517</c:v>
                </c:pt>
                <c:pt idx="5">
                  <c:v>0.10734267769971362</c:v>
                </c:pt>
                <c:pt idx="6">
                  <c:v>9.5788043472971485E-2</c:v>
                </c:pt>
                <c:pt idx="7">
                  <c:v>7.813009860715546E-2</c:v>
                </c:pt>
                <c:pt idx="8">
                  <c:v>7.3098162108951634E-2</c:v>
                </c:pt>
                <c:pt idx="9">
                  <c:v>7.124776635344697E-2</c:v>
                </c:pt>
                <c:pt idx="10">
                  <c:v>6.9172328470390898E-2</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3.7084713569073831</c:v>
                </c:pt>
                <c:pt idx="1">
                  <c:v>3.726799508387328</c:v>
                </c:pt>
                <c:pt idx="2">
                  <c:v>3.7402236755046854</c:v>
                </c:pt>
                <c:pt idx="3">
                  <c:v>3.7567312412616336</c:v>
                </c:pt>
                <c:pt idx="4">
                  <c:v>3.7743377206217272</c:v>
                </c:pt>
                <c:pt idx="5">
                  <c:v>3.8127442029768481</c:v>
                </c:pt>
                <c:pt idx="6">
                  <c:v>3.8678501074990432</c:v>
                </c:pt>
                <c:pt idx="7">
                  <c:v>3.9582902171666761</c:v>
                </c:pt>
                <c:pt idx="8">
                  <c:v>4.0661218920208544</c:v>
                </c:pt>
                <c:pt idx="9">
                  <c:v>4.1879680694192745</c:v>
                </c:pt>
                <c:pt idx="10">
                  <c:v>4.3191723284703913</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Raw Materials</c:v>
          </c:tx>
          <c:spPr>
            <a:solidFill>
              <a:schemeClr val="accent1"/>
            </a:solidFill>
            <a:ln>
              <a:noFill/>
            </a:ln>
            <a:effectLst/>
          </c:spPr>
          <c:invertIfNegative val="0"/>
          <c:cat>
            <c:strRef>
              <c:f>'Tool-CAM Cost'!$D$73:$K$73</c:f>
              <c:strCache>
                <c:ptCount val="8"/>
                <c:pt idx="0">
                  <c:v>NMC333</c:v>
                </c:pt>
                <c:pt idx="1">
                  <c:v>NMC532</c:v>
                </c:pt>
                <c:pt idx="2">
                  <c:v>NMC622</c:v>
                </c:pt>
                <c:pt idx="3">
                  <c:v>NMC811</c:v>
                </c:pt>
                <c:pt idx="4">
                  <c:v>NMC95</c:v>
                </c:pt>
                <c:pt idx="5">
                  <c:v>NCA</c:v>
                </c:pt>
                <c:pt idx="6">
                  <c:v>LFP</c:v>
                </c:pt>
                <c:pt idx="7">
                  <c:v>LMO</c:v>
                </c:pt>
              </c:strCache>
            </c:strRef>
          </c:cat>
          <c:val>
            <c:numRef>
              <c:f>'Tool-CAM Cost'!$D$64:$K$64</c:f>
              <c:numCache>
                <c:formatCode>0.00</c:formatCode>
                <c:ptCount val="8"/>
                <c:pt idx="0">
                  <c:v>23.285209541814112</c:v>
                </c:pt>
                <c:pt idx="1">
                  <c:v>24.572480515668651</c:v>
                </c:pt>
                <c:pt idx="2">
                  <c:v>24.24668577050717</c:v>
                </c:pt>
                <c:pt idx="3">
                  <c:v>27.661767728674207</c:v>
                </c:pt>
                <c:pt idx="4">
                  <c:v>28.196596965969661</c:v>
                </c:pt>
                <c:pt idx="5">
                  <c:v>28.808487252861607</c:v>
                </c:pt>
                <c:pt idx="6">
                  <c:v>9.3469411406150762</c:v>
                </c:pt>
                <c:pt idx="7">
                  <c:v>8.655156266677686</c:v>
                </c:pt>
              </c:numCache>
            </c:numRef>
          </c:val>
          <c:extLst>
            <c:ext xmlns:c16="http://schemas.microsoft.com/office/drawing/2014/chart" uri="{C3380CC4-5D6E-409C-BE32-E72D297353CC}">
              <c16:uniqueId val="{00000000-FA4A-44C8-9F60-D6A1999037B2}"/>
            </c:ext>
          </c:extLst>
        </c:ser>
        <c:ser>
          <c:idx val="1"/>
          <c:order val="1"/>
          <c:tx>
            <c:v>Manufacturing</c:v>
          </c:tx>
          <c:spPr>
            <a:solidFill>
              <a:schemeClr val="accent2"/>
            </a:solidFill>
            <a:ln>
              <a:noFill/>
            </a:ln>
            <a:effectLst/>
          </c:spPr>
          <c:invertIfNegative val="0"/>
          <c:cat>
            <c:strRef>
              <c:f>'Tool-CAM Cost'!$D$73:$K$73</c:f>
              <c:strCache>
                <c:ptCount val="8"/>
                <c:pt idx="0">
                  <c:v>NMC333</c:v>
                </c:pt>
                <c:pt idx="1">
                  <c:v>NMC532</c:v>
                </c:pt>
                <c:pt idx="2">
                  <c:v>NMC622</c:v>
                </c:pt>
                <c:pt idx="3">
                  <c:v>NMC811</c:v>
                </c:pt>
                <c:pt idx="4">
                  <c:v>NMC95</c:v>
                </c:pt>
                <c:pt idx="5">
                  <c:v>NCA</c:v>
                </c:pt>
                <c:pt idx="6">
                  <c:v>LFP</c:v>
                </c:pt>
                <c:pt idx="7">
                  <c:v>LMO</c:v>
                </c:pt>
              </c:strCache>
            </c:strRef>
          </c:cat>
          <c:val>
            <c:numRef>
              <c:f>'Tool-CAM Cost'!$D$69:$K$69</c:f>
              <c:numCache>
                <c:formatCode>0.00</c:formatCode>
                <c:ptCount val="8"/>
                <c:pt idx="0">
                  <c:v>6.1675511957016651</c:v>
                </c:pt>
                <c:pt idx="1">
                  <c:v>6.1675511957016651</c:v>
                </c:pt>
                <c:pt idx="2">
                  <c:v>6.1675511957016651</c:v>
                </c:pt>
                <c:pt idx="3">
                  <c:v>6.1675511957016651</c:v>
                </c:pt>
                <c:pt idx="4">
                  <c:v>6.1675511957016651</c:v>
                </c:pt>
                <c:pt idx="5">
                  <c:v>6.1675511957016651</c:v>
                </c:pt>
                <c:pt idx="6">
                  <c:v>2.8781905579941105</c:v>
                </c:pt>
                <c:pt idx="7">
                  <c:v>2.8781905579941105</c:v>
                </c:pt>
              </c:numCache>
            </c:numRef>
          </c:val>
          <c:extLst>
            <c:ext xmlns:c16="http://schemas.microsoft.com/office/drawing/2014/chart" uri="{C3380CC4-5D6E-409C-BE32-E72D297353CC}">
              <c16:uniqueId val="{00000001-FA4A-44C8-9F60-D6A1999037B2}"/>
            </c:ext>
          </c:extLst>
        </c:ser>
        <c:ser>
          <c:idx val="2"/>
          <c:order val="2"/>
          <c:tx>
            <c:v>Margin</c:v>
          </c:tx>
          <c:spPr>
            <a:solidFill>
              <a:schemeClr val="accent3"/>
            </a:solidFill>
            <a:ln>
              <a:noFill/>
            </a:ln>
            <a:effectLst/>
          </c:spPr>
          <c:invertIfNegative val="0"/>
          <c:errBars>
            <c:errBarType val="both"/>
            <c:errValType val="cust"/>
            <c:noEndCap val="0"/>
            <c:plus>
              <c:numRef>
                <c:f>'Tool-CAM Cost'!$D$76:$K$76</c:f>
                <c:numCache>
                  <c:formatCode>General</c:formatCode>
                  <c:ptCount val="8"/>
                  <c:pt idx="0">
                    <c:v>3.4535209541814114</c:v>
                  </c:pt>
                  <c:pt idx="1">
                    <c:v>3.5822480515668649</c:v>
                  </c:pt>
                  <c:pt idx="2">
                    <c:v>3.549668577050717</c:v>
                  </c:pt>
                  <c:pt idx="3">
                    <c:v>3.8911767728674205</c:v>
                  </c:pt>
                  <c:pt idx="4">
                    <c:v>3.944659696596966</c:v>
                  </c:pt>
                  <c:pt idx="5">
                    <c:v>4.0058487252861603</c:v>
                  </c:pt>
                  <c:pt idx="6">
                    <c:v>1.4596941140615076</c:v>
                  </c:pt>
                  <c:pt idx="7">
                    <c:v>1.3905156266677685</c:v>
                  </c:pt>
                </c:numCache>
              </c:numRef>
            </c:plus>
            <c:minus>
              <c:numRef>
                <c:f>'Tool-CAM Cost'!$D$76:$K$76</c:f>
                <c:numCache>
                  <c:formatCode>General</c:formatCode>
                  <c:ptCount val="8"/>
                  <c:pt idx="0">
                    <c:v>3.4535209541814114</c:v>
                  </c:pt>
                  <c:pt idx="1">
                    <c:v>3.5822480515668649</c:v>
                  </c:pt>
                  <c:pt idx="2">
                    <c:v>3.549668577050717</c:v>
                  </c:pt>
                  <c:pt idx="3">
                    <c:v>3.8911767728674205</c:v>
                  </c:pt>
                  <c:pt idx="4">
                    <c:v>3.944659696596966</c:v>
                  </c:pt>
                  <c:pt idx="5">
                    <c:v>4.0058487252861603</c:v>
                  </c:pt>
                  <c:pt idx="6">
                    <c:v>1.4596941140615076</c:v>
                  </c:pt>
                  <c:pt idx="7">
                    <c:v>1.3905156266677685</c:v>
                  </c:pt>
                </c:numCache>
              </c:numRef>
            </c:minus>
            <c:spPr>
              <a:noFill/>
              <a:ln w="12700" cap="flat" cmpd="sng" algn="ctr">
                <a:solidFill>
                  <a:schemeClr val="tx1"/>
                </a:solidFill>
                <a:round/>
              </a:ln>
              <a:effectLst/>
            </c:spPr>
          </c:errBars>
          <c:cat>
            <c:strRef>
              <c:f>'Tool-CAM Cost'!$D$73:$K$73</c:f>
              <c:strCache>
                <c:ptCount val="8"/>
                <c:pt idx="0">
                  <c:v>NMC333</c:v>
                </c:pt>
                <c:pt idx="1">
                  <c:v>NMC532</c:v>
                </c:pt>
                <c:pt idx="2">
                  <c:v>NMC622</c:v>
                </c:pt>
                <c:pt idx="3">
                  <c:v>NMC811</c:v>
                </c:pt>
                <c:pt idx="4">
                  <c:v>NMC95</c:v>
                </c:pt>
                <c:pt idx="5">
                  <c:v>NCA</c:v>
                </c:pt>
                <c:pt idx="6">
                  <c:v>LFP</c:v>
                </c:pt>
                <c:pt idx="7">
                  <c:v>LMO</c:v>
                </c:pt>
              </c:strCache>
            </c:strRef>
          </c:cat>
          <c:val>
            <c:numRef>
              <c:f>'Tool-CAM Cost'!$D$71:$K$71</c:f>
              <c:numCache>
                <c:formatCode>0.00</c:formatCode>
                <c:ptCount val="8"/>
                <c:pt idx="0">
                  <c:v>1.472638036875789</c:v>
                </c:pt>
                <c:pt idx="1">
                  <c:v>1.537001585568516</c:v>
                </c:pt>
                <c:pt idx="2">
                  <c:v>1.5207118483104418</c:v>
                </c:pt>
                <c:pt idx="3">
                  <c:v>1.6914659462187935</c:v>
                </c:pt>
                <c:pt idx="4">
                  <c:v>1.7182074080835663</c:v>
                </c:pt>
                <c:pt idx="5">
                  <c:v>1.7488019224281637</c:v>
                </c:pt>
                <c:pt idx="6">
                  <c:v>0.61125658493045931</c:v>
                </c:pt>
                <c:pt idx="7">
                  <c:v>0.57666734123358976</c:v>
                </c:pt>
              </c:numCache>
            </c:numRef>
          </c:val>
          <c:extLst>
            <c:ext xmlns:c16="http://schemas.microsoft.com/office/drawing/2014/chart" uri="{C3380CC4-5D6E-409C-BE32-E72D297353CC}">
              <c16:uniqueId val="{00000002-FA4A-44C8-9F60-D6A1999037B2}"/>
            </c:ext>
          </c:extLst>
        </c:ser>
        <c:dLbls>
          <c:showLegendKey val="0"/>
          <c:showVal val="0"/>
          <c:showCatName val="0"/>
          <c:showSerName val="0"/>
          <c:showPercent val="0"/>
          <c:showBubbleSize val="0"/>
        </c:dLbls>
        <c:gapWidth val="150"/>
        <c:overlap val="100"/>
        <c:axId val="1226660912"/>
        <c:axId val="1226661392"/>
      </c:barChart>
      <c:catAx>
        <c:axId val="122666091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6661392"/>
        <c:crosses val="autoZero"/>
        <c:auto val="1"/>
        <c:lblAlgn val="ctr"/>
        <c:lblOffset val="100"/>
        <c:noMultiLvlLbl val="0"/>
      </c:catAx>
      <c:valAx>
        <c:axId val="1226661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CAM Cost ($/kg)</a:t>
                </a:r>
              </a:p>
            </c:rich>
          </c:tx>
          <c:layout>
            <c:manualLayout>
              <c:xMode val="edge"/>
              <c:yMode val="edge"/>
              <c:x val="1.6666666666666666E-2"/>
              <c:y val="0.30723753280839894"/>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666091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1" Type="http://schemas.openxmlformats.org/officeDocument/2006/relationships/image" Target="../media/image9.emf"/></Relationships>
</file>

<file path=xl/drawings/_rels/drawing8.xml.rels><?xml version="1.0" encoding="UTF-8" standalone="yes"?>
<Relationships xmlns="http://schemas.openxmlformats.org/package/2006/relationships"><Relationship Id="rId1" Type="http://schemas.openxmlformats.org/officeDocument/2006/relationships/image" Target="../media/image11.emf"/></Relationships>
</file>

<file path=xl/drawings/_rels/drawing9.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5.1</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158</xdr:row>
      <xdr:rowOff>95248</xdr:rowOff>
    </xdr:from>
    <xdr:to>
      <xdr:col>9</xdr:col>
      <xdr:colOff>243417</xdr:colOff>
      <xdr:row>189</xdr:row>
      <xdr:rowOff>179916</xdr:rowOff>
    </xdr:to>
    <xdr:graphicFrame macro="">
      <xdr:nvGraphicFramePr>
        <xdr:cNvPr id="3" name="Chart 1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114300</xdr:colOff>
          <xdr:row>78</xdr:row>
          <xdr:rowOff>88900</xdr:rowOff>
        </xdr:from>
        <xdr:to>
          <xdr:col>4</xdr:col>
          <xdr:colOff>850900</xdr:colOff>
          <xdr:row>82</xdr:row>
          <xdr:rowOff>38100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600" b="0" i="0" u="none" strike="noStrike" baseline="0">
                  <a:solidFill>
                    <a:srgbClr val="000000"/>
                  </a:solidFill>
                  <a:latin typeface="Times New Roman" pitchFamily="1" charset="0"/>
                  <a:cs typeface="Times New Roman" pitchFamily="1" charset="0"/>
                </a:rPr>
                <a:t>Add set of default pack designs (power, energy, pack configurations)</a:t>
              </a:r>
            </a:p>
          </xdr:txBody>
        </xdr:sp>
        <xdr:clientData fPrintsWithSheet="0"/>
      </xdr:twoCellAnchor>
    </mc:Choice>
    <mc:Fallback/>
  </mc:AlternateContent>
  <xdr:twoCellAnchor>
    <xdr:from>
      <xdr:col>29</xdr:col>
      <xdr:colOff>2</xdr:colOff>
      <xdr:row>247</xdr:row>
      <xdr:rowOff>159965</xdr:rowOff>
    </xdr:from>
    <xdr:to>
      <xdr:col>39</xdr:col>
      <xdr:colOff>378201</xdr:colOff>
      <xdr:row>270</xdr:row>
      <xdr:rowOff>179856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661348</xdr:colOff>
          <xdr:row>100</xdr:row>
          <xdr:rowOff>40931</xdr:rowOff>
        </xdr:from>
        <xdr:to>
          <xdr:col>20</xdr:col>
          <xdr:colOff>474455</xdr:colOff>
          <xdr:row>120</xdr:row>
          <xdr:rowOff>21037</xdr:rowOff>
        </xdr:to>
        <xdr:pic>
          <xdr:nvPicPr>
            <xdr:cNvPr id="1533505" name="Picture 12">
              <a:extLst>
                <a:ext uri="{FF2B5EF4-FFF2-40B4-BE49-F238E27FC236}">
                  <a16:creationId xmlns:a16="http://schemas.microsoft.com/office/drawing/2014/main" id="{00000000-0008-0000-0100-000041661700}"/>
                </a:ext>
              </a:extLst>
            </xdr:cNvPr>
            <xdr:cNvPicPr>
              <a:picLocks noChangeAspect="1" noChangeArrowheads="1"/>
              <a:extLst>
                <a:ext uri="{84589F7E-364E-4C9E-8A38-B11213B215E9}">
                  <a14:cameraTool cellRange="Lists!$A$132:$B$150" spid="_x0000_s1756984"/>
                </a:ext>
              </a:extLst>
            </xdr:cNvPicPr>
          </xdr:nvPicPr>
          <xdr:blipFill>
            <a:blip xmlns:r="http://schemas.openxmlformats.org/officeDocument/2006/relationships" r:embed="rId3"/>
            <a:srcRect/>
            <a:stretch>
              <a:fillRect/>
            </a:stretch>
          </xdr:blipFill>
          <xdr:spPr bwMode="auto">
            <a:xfrm>
              <a:off x="16002201" y="21881196"/>
              <a:ext cx="9963955" cy="42068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692638</xdr:colOff>
          <xdr:row>25</xdr:row>
          <xdr:rowOff>156864</xdr:rowOff>
        </xdr:from>
        <xdr:to>
          <xdr:col>23</xdr:col>
          <xdr:colOff>402693</xdr:colOff>
          <xdr:row>61</xdr:row>
          <xdr:rowOff>175100</xdr:rowOff>
        </xdr:to>
        <xdr:pic>
          <xdr:nvPicPr>
            <xdr:cNvPr id="1533506" name="Picture 18063">
              <a:extLst>
                <a:ext uri="{FF2B5EF4-FFF2-40B4-BE49-F238E27FC236}">
                  <a16:creationId xmlns:a16="http://schemas.microsoft.com/office/drawing/2014/main" id="{00000000-0008-0000-0100-000042661700}"/>
                </a:ext>
              </a:extLst>
            </xdr:cNvPr>
            <xdr:cNvPicPr>
              <a:picLocks noChangeAspect="1" noChangeArrowheads="1"/>
              <a:extLst>
                <a:ext uri="{84589F7E-364E-4C9E-8A38-B11213B215E9}">
                  <a14:cameraTool cellRange="MovableTable" spid="_x0000_s1756985"/>
                </a:ext>
              </a:extLst>
            </xdr:cNvPicPr>
          </xdr:nvPicPr>
          <xdr:blipFill>
            <a:blip xmlns:r="http://schemas.openxmlformats.org/officeDocument/2006/relationships" r:embed="rId4"/>
            <a:srcRect/>
            <a:stretch>
              <a:fillRect/>
            </a:stretch>
          </xdr:blipFill>
          <xdr:spPr bwMode="auto">
            <a:xfrm>
              <a:off x="16313638" y="5654150"/>
              <a:ext cx="12682107" cy="839805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9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with NMC532-G (Power)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593335</xdr:colOff>
          <xdr:row>43</xdr:row>
          <xdr:rowOff>3174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MovableTable" spid="_x0000_s1773852"/>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266064</xdr:colOff>
          <xdr:row>6</xdr:row>
          <xdr:rowOff>200819</xdr:rowOff>
        </xdr:from>
        <xdr:to>
          <xdr:col>13</xdr:col>
          <xdr:colOff>102812</xdr:colOff>
          <xdr:row>31</xdr:row>
          <xdr:rowOff>155282</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MovableTable" spid="_x0000_s1742292"/>
                </a:ext>
              </a:extLst>
            </xdr:cNvPicPr>
          </xdr:nvPicPr>
          <xdr:blipFill>
            <a:blip xmlns:r="http://schemas.openxmlformats.org/officeDocument/2006/relationships" r:embed="rId1"/>
            <a:srcRect/>
            <a:stretch>
              <a:fillRect/>
            </a:stretch>
          </xdr:blipFill>
          <xdr:spPr bwMode="auto">
            <a:xfrm>
              <a:off x="13629639" y="2277269"/>
              <a:ext cx="9742748" cy="4669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425450</xdr:colOff>
          <xdr:row>9</xdr:row>
          <xdr:rowOff>85725</xdr:rowOff>
        </xdr:from>
        <xdr:to>
          <xdr:col>22</xdr:col>
          <xdr:colOff>326749</xdr:colOff>
          <xdr:row>33</xdr:row>
          <xdr:rowOff>162264</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MovableTable" spid="_x0000_s1789958"/>
                </a:ext>
              </a:extLst>
            </xdr:cNvPicPr>
          </xdr:nvPicPr>
          <xdr:blipFill>
            <a:blip xmlns:r="http://schemas.openxmlformats.org/officeDocument/2006/relationships" r:embed="rId1"/>
            <a:srcRect/>
            <a:stretch>
              <a:fillRect/>
            </a:stretch>
          </xdr:blipFill>
          <xdr:spPr bwMode="auto">
            <a:xfrm>
              <a:off x="12303125" y="1971675"/>
              <a:ext cx="9073874" cy="40770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2</xdr:col>
      <xdr:colOff>19968</xdr:colOff>
      <xdr:row>428</xdr:row>
      <xdr:rowOff>165460</xdr:rowOff>
    </xdr:from>
    <xdr:to>
      <xdr:col>2</xdr:col>
      <xdr:colOff>607616</xdr:colOff>
      <xdr:row>433</xdr:row>
      <xdr:rowOff>65820</xdr:rowOff>
    </xdr:to>
    <xdr:sp macro="" textlink="">
      <xdr:nvSpPr>
        <xdr:cNvPr id="2" name="Right Brace 1">
          <a:extLst>
            <a:ext uri="{FF2B5EF4-FFF2-40B4-BE49-F238E27FC236}">
              <a16:creationId xmlns:a16="http://schemas.microsoft.com/office/drawing/2014/main" id="{00000000-0008-0000-0400-000002000000}"/>
            </a:ext>
          </a:extLst>
        </xdr:cNvPr>
        <xdr:cNvSpPr/>
      </xdr:nvSpPr>
      <xdr:spPr>
        <a:xfrm>
          <a:off x="2961288" y="73325080"/>
          <a:ext cx="587648" cy="57092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701432</xdr:colOff>
      <xdr:row>428</xdr:row>
      <xdr:rowOff>37916</xdr:rowOff>
    </xdr:from>
    <xdr:to>
      <xdr:col>4</xdr:col>
      <xdr:colOff>30</xdr:colOff>
      <xdr:row>435</xdr:row>
      <xdr:rowOff>14604</xdr:rowOff>
    </xdr:to>
    <xdr:sp macro="" textlink="">
      <xdr:nvSpPr>
        <xdr:cNvPr id="3" name="TextBox 5">
          <a:extLst>
            <a:ext uri="{FF2B5EF4-FFF2-40B4-BE49-F238E27FC236}">
              <a16:creationId xmlns:a16="http://schemas.microsoft.com/office/drawing/2014/main" id="{00000000-0008-0000-0400-000003000000}"/>
            </a:ext>
          </a:extLst>
        </xdr:cNvPr>
        <xdr:cNvSpPr txBox="1"/>
      </xdr:nvSpPr>
      <xdr:spPr>
        <a:xfrm>
          <a:off x="3642752" y="73197536"/>
          <a:ext cx="883558" cy="982528"/>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330200</xdr:colOff>
          <xdr:row>8</xdr:row>
          <xdr:rowOff>28575</xdr:rowOff>
        </xdr:from>
        <xdr:to>
          <xdr:col>21</xdr:col>
          <xdr:colOff>492203</xdr:colOff>
          <xdr:row>33</xdr:row>
          <xdr:rowOff>117364</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a:extLst>
                <a:ext uri="{84589F7E-364E-4C9E-8A38-B11213B215E9}">
                  <a14:cameraTool cellRange="MovableTable" spid="_x0000_s1725170"/>
                </a:ext>
              </a:extLst>
            </xdr:cNvPicPr>
          </xdr:nvPicPr>
          <xdr:blipFill>
            <a:blip xmlns:r="http://schemas.openxmlformats.org/officeDocument/2006/relationships" r:embed="rId1"/>
            <a:srcRect/>
            <a:stretch>
              <a:fillRect/>
            </a:stretch>
          </xdr:blipFill>
          <xdr:spPr bwMode="auto">
            <a:xfrm>
              <a:off x="14265275" y="1695450"/>
              <a:ext cx="9144078" cy="446076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22224</xdr:colOff>
      <xdr:row>135</xdr:row>
      <xdr:rowOff>82550</xdr:rowOff>
    </xdr:from>
    <xdr:to>
      <xdr:col>12</xdr:col>
      <xdr:colOff>603249</xdr:colOff>
      <xdr:row>161</xdr:row>
      <xdr:rowOff>47626</xdr:rowOff>
    </xdr:to>
    <xdr:graphicFrame macro="">
      <xdr:nvGraphicFramePr>
        <xdr:cNvPr id="2" name="Chart 6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190</xdr:row>
      <xdr:rowOff>25399</xdr:rowOff>
    </xdr:from>
    <xdr:to>
      <xdr:col>12</xdr:col>
      <xdr:colOff>552450</xdr:colOff>
      <xdr:row>219</xdr:row>
      <xdr:rowOff>9525</xdr:rowOff>
    </xdr:to>
    <xdr:graphicFrame macro="">
      <xdr:nvGraphicFramePr>
        <xdr:cNvPr id="11" name="Chart 238">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299</xdr:row>
      <xdr:rowOff>101599</xdr:rowOff>
    </xdr:from>
    <xdr:to>
      <xdr:col>12</xdr:col>
      <xdr:colOff>450850</xdr:colOff>
      <xdr:row>326</xdr:row>
      <xdr:rowOff>114299</xdr:rowOff>
    </xdr:to>
    <xdr:graphicFrame macro="">
      <xdr:nvGraphicFramePr>
        <xdr:cNvPr id="13" name="Chart 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328</xdr:row>
      <xdr:rowOff>66675</xdr:rowOff>
    </xdr:from>
    <xdr:to>
      <xdr:col>12</xdr:col>
      <xdr:colOff>590550</xdr:colOff>
      <xdr:row>357</xdr:row>
      <xdr:rowOff>9525</xdr:rowOff>
    </xdr:to>
    <xdr:graphicFrame macro="">
      <xdr:nvGraphicFramePr>
        <xdr:cNvPr id="17" name="Chart 4">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250</xdr:row>
      <xdr:rowOff>28575</xdr:rowOff>
    </xdr:from>
    <xdr:to>
      <xdr:col>12</xdr:col>
      <xdr:colOff>581023</xdr:colOff>
      <xdr:row>274</xdr:row>
      <xdr:rowOff>19051</xdr:rowOff>
    </xdr:to>
    <xdr:graphicFrame macro="">
      <xdr:nvGraphicFramePr>
        <xdr:cNvPr id="19" name="Chart 5">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162</xdr:row>
      <xdr:rowOff>57150</xdr:rowOff>
    </xdr:from>
    <xdr:to>
      <xdr:col>12</xdr:col>
      <xdr:colOff>600075</xdr:colOff>
      <xdr:row>188</xdr:row>
      <xdr:rowOff>19051</xdr:rowOff>
    </xdr:to>
    <xdr:graphicFrame macro="">
      <xdr:nvGraphicFramePr>
        <xdr:cNvPr id="7" name="Chart 6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220</xdr:row>
      <xdr:rowOff>22226</xdr:rowOff>
    </xdr:from>
    <xdr:to>
      <xdr:col>12</xdr:col>
      <xdr:colOff>571501</xdr:colOff>
      <xdr:row>249</xdr:row>
      <xdr:rowOff>19051</xdr:rowOff>
    </xdr:to>
    <xdr:graphicFrame macro="">
      <xdr:nvGraphicFramePr>
        <xdr:cNvPr id="21" name="Chart 238">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275</xdr:row>
      <xdr:rowOff>66675</xdr:rowOff>
    </xdr:from>
    <xdr:to>
      <xdr:col>12</xdr:col>
      <xdr:colOff>600073</xdr:colOff>
      <xdr:row>299</xdr:row>
      <xdr:rowOff>57151</xdr:rowOff>
    </xdr:to>
    <xdr:graphicFrame macro="">
      <xdr:nvGraphicFramePr>
        <xdr:cNvPr id="23" name="Chart 8">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1.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2.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647700</xdr:colOff>
          <xdr:row>35</xdr:row>
          <xdr:rowOff>38100</xdr:rowOff>
        </xdr:from>
        <xdr:to>
          <xdr:col>2</xdr:col>
          <xdr:colOff>1066800</xdr:colOff>
          <xdr:row>39</xdr:row>
          <xdr:rowOff>38100</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D00-000025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1447800</xdr:colOff>
          <xdr:row>107</xdr:row>
          <xdr:rowOff>152400</xdr:rowOff>
        </xdr:from>
        <xdr:to>
          <xdr:col>4</xdr:col>
          <xdr:colOff>838200</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D00-00002E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914400</xdr:colOff>
          <xdr:row>80</xdr:row>
          <xdr:rowOff>114300</xdr:rowOff>
        </xdr:from>
        <xdr:to>
          <xdr:col>7</xdr:col>
          <xdr:colOff>1181100</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D00-00002F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D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447674</xdr:colOff>
      <xdr:row>48</xdr:row>
      <xdr:rowOff>107949</xdr:rowOff>
    </xdr:from>
    <xdr:to>
      <xdr:col>20</xdr:col>
      <xdr:colOff>390525</xdr:colOff>
      <xdr:row>75</xdr:row>
      <xdr:rowOff>28575</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876300</xdr:colOff>
          <xdr:row>158</xdr:row>
          <xdr:rowOff>0</xdr:rowOff>
        </xdr:from>
        <xdr:to>
          <xdr:col>44</xdr:col>
          <xdr:colOff>723900</xdr:colOff>
          <xdr:row>160</xdr:row>
          <xdr:rowOff>76200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1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constant variables to workbook</a:t>
              </a:r>
            </a:p>
            <a:p>
              <a:pPr algn="ctr"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62"/>
  <sheetViews>
    <sheetView workbookViewId="0">
      <selection activeCell="Q8" sqref="Q8"/>
    </sheetView>
  </sheetViews>
  <sheetFormatPr baseColWidth="10" defaultColWidth="8.5" defaultRowHeight="13" x14ac:dyDescent="0.15"/>
  <sheetData>
    <row r="54" spans="2:2" ht="16" x14ac:dyDescent="0.2">
      <c r="B54" s="5" t="s">
        <v>0</v>
      </c>
    </row>
    <row r="55" spans="2:2" ht="16" x14ac:dyDescent="0.2">
      <c r="B55" s="5" t="s">
        <v>1</v>
      </c>
    </row>
    <row r="56" spans="2:2" ht="16" x14ac:dyDescent="0.2">
      <c r="B56" s="5" t="s">
        <v>2</v>
      </c>
    </row>
    <row r="57" spans="2:2" ht="16" x14ac:dyDescent="0.2">
      <c r="B57" s="5" t="s">
        <v>3</v>
      </c>
    </row>
    <row r="58" spans="2:2" ht="16" x14ac:dyDescent="0.2">
      <c r="B58" s="163" t="s">
        <v>4</v>
      </c>
    </row>
    <row r="60" spans="2:2" ht="16" x14ac:dyDescent="0.2">
      <c r="B60" s="5" t="s">
        <v>5</v>
      </c>
    </row>
    <row r="61" spans="2:2" ht="16" x14ac:dyDescent="0.2">
      <c r="B61" s="6" t="s">
        <v>6</v>
      </c>
    </row>
    <row r="62" spans="2:2" ht="16" x14ac:dyDescent="0.2">
      <c r="B62" s="6" t="s">
        <v>7</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75"/>
  <sheetViews>
    <sheetView tabSelected="1" workbookViewId="0">
      <pane ySplit="6" topLeftCell="A7" activePane="bottomLeft" state="frozen"/>
      <selection pane="bottomLeft" activeCell="E28" sqref="E28"/>
    </sheetView>
  </sheetViews>
  <sheetFormatPr baseColWidth="10" defaultColWidth="9.5" defaultRowHeight="16" outlineLevelRow="2" x14ac:dyDescent="0.2"/>
  <cols>
    <col min="1" max="1" width="5.5" style="8" customWidth="1"/>
    <col min="2" max="2" width="11.5" style="6" customWidth="1"/>
    <col min="3" max="3" width="61.83203125" style="196" customWidth="1"/>
    <col min="4" max="4" width="23.1640625" style="27" customWidth="1"/>
    <col min="5" max="5" width="24" style="27" customWidth="1"/>
    <col min="6" max="6" width="15.5" style="6" customWidth="1"/>
    <col min="7" max="7" width="16.5" style="6" customWidth="1"/>
    <col min="8" max="8" width="18.5" style="6" customWidth="1"/>
    <col min="9" max="9" width="14.5" style="6" customWidth="1"/>
    <col min="10" max="10" width="14.5" style="6" bestFit="1" customWidth="1"/>
    <col min="11" max="11" width="10.5" style="6" customWidth="1"/>
    <col min="12" max="12" width="13.5" style="6" customWidth="1"/>
    <col min="13" max="13" width="18.5" style="6" bestFit="1" customWidth="1"/>
    <col min="14" max="14" width="19.5" style="6" bestFit="1" customWidth="1"/>
    <col min="15" max="15" width="26.5" style="6" bestFit="1" customWidth="1"/>
    <col min="16" max="16" width="16.5" style="6" customWidth="1"/>
    <col min="17" max="18" width="18.5" style="6" bestFit="1" customWidth="1"/>
    <col min="19" max="19" width="17.5" style="6" customWidth="1"/>
    <col min="20" max="27" width="12.5" style="6" customWidth="1"/>
    <col min="28" max="28" width="16.5" style="6" customWidth="1"/>
    <col min="29" max="29" width="21.5" style="6" customWidth="1"/>
    <col min="30" max="36" width="12.5" style="6" customWidth="1"/>
    <col min="37" max="39" width="10.5" style="6" customWidth="1"/>
    <col min="40" max="16384" width="9.5" style="6"/>
  </cols>
  <sheetData>
    <row r="1" spans="1:31" ht="24" thickBot="1" x14ac:dyDescent="0.25">
      <c r="B1" s="1256" t="s">
        <v>8</v>
      </c>
      <c r="C1" s="1257"/>
      <c r="D1" s="1257"/>
      <c r="E1" s="1257"/>
      <c r="F1" s="1257"/>
      <c r="G1" s="1257"/>
      <c r="H1" s="1257"/>
      <c r="I1" s="1257"/>
      <c r="J1" s="1257"/>
      <c r="K1" s="1257"/>
      <c r="L1" s="1257"/>
      <c r="M1" s="1260" t="s">
        <v>9</v>
      </c>
      <c r="N1" s="1261"/>
      <c r="O1"/>
      <c r="P1" s="8"/>
      <c r="Q1"/>
      <c r="R1"/>
      <c r="S1"/>
    </row>
    <row r="2" spans="1:31" ht="19" thickBot="1" x14ac:dyDescent="0.25">
      <c r="B2" s="1258" t="str">
        <f>Dashboard!$D$34&amp;" with "&amp; IF($D$28="No", Dashboard!$D$13, SUBSTITUTE( Dashboard!$D$13, "-G ", " - " &amp; Lists!$O$142 &amp; "  ")) &amp;" Electrodes"</f>
        <v>EV with NMC532-G (Power) Electrodes</v>
      </c>
      <c r="C2" s="1259"/>
      <c r="D2" s="1259"/>
      <c r="E2" s="1259"/>
      <c r="F2" s="1259"/>
      <c r="G2" s="1259"/>
      <c r="H2" s="1259"/>
      <c r="I2" s="1259"/>
      <c r="J2" s="1259"/>
      <c r="K2" s="1259"/>
      <c r="L2" s="1259"/>
      <c r="M2" s="987" t="s">
        <v>8</v>
      </c>
      <c r="N2" s="988" t="s">
        <v>10</v>
      </c>
      <c r="O2"/>
      <c r="P2" s="8"/>
      <c r="Q2"/>
      <c r="R2"/>
      <c r="S2"/>
    </row>
    <row r="3" spans="1:31" ht="21" thickBot="1" x14ac:dyDescent="0.25">
      <c r="B3" s="957" t="s">
        <v>11</v>
      </c>
      <c r="C3" s="864"/>
      <c r="D3" s="958" t="s">
        <v>12</v>
      </c>
      <c r="E3" s="219"/>
      <c r="F3" s="220"/>
      <c r="G3" s="959" t="s">
        <v>13</v>
      </c>
      <c r="H3" s="221"/>
      <c r="I3" s="1232" t="s">
        <v>14</v>
      </c>
      <c r="J3" s="1233"/>
      <c r="K3" s="1233"/>
      <c r="L3" s="1233"/>
      <c r="M3" s="989" t="s">
        <v>15</v>
      </c>
      <c r="N3" s="988" t="s">
        <v>16</v>
      </c>
      <c r="O3"/>
      <c r="P3" s="8"/>
      <c r="Q3"/>
      <c r="R3"/>
      <c r="S3"/>
      <c r="AC3" s="865"/>
      <c r="AD3" s="932"/>
      <c r="AE3" s="933"/>
    </row>
    <row r="4" spans="1:31" ht="17" thickBot="1" x14ac:dyDescent="0.25">
      <c r="M4" s="986" t="s">
        <v>17</v>
      </c>
      <c r="N4" s="988" t="s">
        <v>18</v>
      </c>
      <c r="O4"/>
      <c r="P4" s="8"/>
      <c r="Q4"/>
      <c r="R4"/>
      <c r="S4"/>
    </row>
    <row r="5" spans="1:31" ht="21" thickBot="1" x14ac:dyDescent="0.25">
      <c r="B5" s="1234" t="s">
        <v>19</v>
      </c>
      <c r="C5" s="1235"/>
      <c r="D5" s="1235"/>
      <c r="E5" s="1235"/>
      <c r="F5" s="1235"/>
      <c r="G5" s="1235"/>
      <c r="H5" s="1235"/>
      <c r="I5" s="1235"/>
      <c r="J5" s="1235"/>
      <c r="K5" s="1235"/>
      <c r="L5" s="1235"/>
      <c r="M5" s="986" t="s">
        <v>20</v>
      </c>
      <c r="N5" s="992" t="s">
        <v>21</v>
      </c>
      <c r="O5"/>
      <c r="P5" s="8"/>
      <c r="Q5"/>
      <c r="R5"/>
      <c r="S5"/>
    </row>
    <row r="6" spans="1:31" ht="17" thickBot="1" x14ac:dyDescent="0.25">
      <c r="B6" s="206"/>
      <c r="C6" s="961" t="s">
        <v>22</v>
      </c>
      <c r="D6" s="962">
        <f>1</f>
        <v>1</v>
      </c>
      <c r="E6" s="963" t="s">
        <v>23</v>
      </c>
      <c r="F6" s="960" t="s">
        <v>24</v>
      </c>
      <c r="G6" s="874"/>
      <c r="H6" s="874"/>
      <c r="I6" s="874"/>
      <c r="J6" s="203"/>
      <c r="K6" s="203"/>
      <c r="L6" s="203"/>
      <c r="M6" s="990" t="s">
        <v>25</v>
      </c>
      <c r="N6" s="991" t="s">
        <v>26</v>
      </c>
      <c r="O6" s="8"/>
      <c r="P6" s="8"/>
      <c r="Q6"/>
      <c r="R6"/>
      <c r="S6"/>
      <c r="T6" s="8"/>
      <c r="U6" s="8"/>
      <c r="V6" s="8"/>
      <c r="W6" s="8"/>
      <c r="X6" s="8"/>
      <c r="Y6" s="8"/>
    </row>
    <row r="7" spans="1:31" x14ac:dyDescent="0.2">
      <c r="B7" s="856"/>
      <c r="C7" s="696"/>
      <c r="D7"/>
      <c r="E7"/>
      <c r="F7"/>
      <c r="G7"/>
      <c r="H7"/>
      <c r="I7"/>
      <c r="J7"/>
      <c r="K7" s="8"/>
      <c r="L7" s="8"/>
      <c r="M7" s="8"/>
      <c r="N7" s="8"/>
      <c r="O7" s="8"/>
      <c r="P7" s="8"/>
    </row>
    <row r="8" spans="1:31" x14ac:dyDescent="0.2">
      <c r="C8"/>
      <c r="D8"/>
      <c r="E8"/>
      <c r="F8"/>
      <c r="G8"/>
      <c r="H8"/>
      <c r="I8"/>
      <c r="J8"/>
    </row>
    <row r="9" spans="1:31" ht="19.5" customHeight="1" thickBot="1" x14ac:dyDescent="0.25">
      <c r="B9" s="126"/>
      <c r="C9"/>
      <c r="D9"/>
      <c r="E9"/>
      <c r="F9"/>
      <c r="G9"/>
      <c r="H9"/>
      <c r="I9"/>
      <c r="J9"/>
      <c r="O9" s="8"/>
      <c r="P9" s="8"/>
      <c r="Q9" s="8"/>
      <c r="R9" s="8"/>
      <c r="S9" s="8"/>
      <c r="T9" s="8"/>
      <c r="U9" s="8"/>
      <c r="V9" s="8"/>
      <c r="W9" s="8"/>
      <c r="X9" s="8"/>
      <c r="Y9" s="8"/>
    </row>
    <row r="10" spans="1:31" ht="19.5" customHeight="1" thickBot="1" x14ac:dyDescent="0.25">
      <c r="A10" s="6"/>
      <c r="B10" s="1234" t="s">
        <v>27</v>
      </c>
      <c r="C10" s="1235"/>
      <c r="D10" s="1235"/>
      <c r="E10" s="1235"/>
      <c r="F10" s="1235"/>
      <c r="G10" s="1235"/>
      <c r="H10" s="1235"/>
      <c r="I10" s="1235"/>
      <c r="J10" s="1235"/>
      <c r="K10" s="1235"/>
      <c r="L10" s="1236"/>
      <c r="M10" s="197"/>
      <c r="N10" s="197"/>
      <c r="O10" s="8"/>
      <c r="P10" s="8"/>
      <c r="Q10" s="8"/>
      <c r="R10" s="8"/>
      <c r="S10" s="8"/>
      <c r="T10" s="8"/>
      <c r="U10" s="8"/>
      <c r="V10" s="8"/>
      <c r="W10" s="8"/>
      <c r="X10" s="8"/>
      <c r="Y10" s="8"/>
    </row>
    <row r="11" spans="1:31" s="237" customFormat="1" ht="19" thickBot="1" x14ac:dyDescent="0.25">
      <c r="B11" s="875" t="s">
        <v>28</v>
      </c>
      <c r="C11" s="877"/>
      <c r="D11" s="878"/>
      <c r="E11" s="878"/>
      <c r="F11" s="877"/>
      <c r="G11" s="877"/>
      <c r="H11" s="879"/>
      <c r="I11" s="880"/>
      <c r="J11" s="881"/>
      <c r="K11" s="882"/>
      <c r="L11" s="883"/>
      <c r="M11" s="867"/>
      <c r="N11" s="867"/>
    </row>
    <row r="12" spans="1:31" s="8" customFormat="1" ht="17" outlineLevel="1" x14ac:dyDescent="0.2">
      <c r="B12" s="897"/>
      <c r="C12" s="196"/>
      <c r="D12" s="868" t="s">
        <v>29</v>
      </c>
      <c r="E12" s="869" t="s">
        <v>30</v>
      </c>
      <c r="F12" s="346"/>
      <c r="K12" s="346"/>
      <c r="L12" s="898"/>
      <c r="M12" s="346"/>
      <c r="N12" s="346"/>
    </row>
    <row r="13" spans="1:31" s="8" customFormat="1" ht="19" outlineLevel="1" x14ac:dyDescent="0.15">
      <c r="B13" s="897"/>
      <c r="C13" s="951" t="s">
        <v>31</v>
      </c>
      <c r="D13" s="984" t="str">
        <f>E13</f>
        <v>NMC532-G (Power)</v>
      </c>
      <c r="E13" s="985" t="s">
        <v>702</v>
      </c>
      <c r="F13" s="346"/>
      <c r="K13" s="346"/>
      <c r="L13" s="898"/>
      <c r="M13" s="346"/>
      <c r="N13" s="346"/>
    </row>
    <row r="14" spans="1:31" s="8" customFormat="1" ht="17" outlineLevel="1" x14ac:dyDescent="0.2">
      <c r="B14" s="897"/>
      <c r="C14" s="952" t="str">
        <f>"Positive Electrode: " &amp; IFERROR(INDEX(_chem_formulas,MATCH(Chem!C7,_materials,0)), Chem!C7)</f>
        <v>Positive Electrode: Li(Ni0.5Mn0.3Co0.2)O2</v>
      </c>
      <c r="D14" s="866"/>
      <c r="E14" s="870" t="s">
        <v>33</v>
      </c>
      <c r="F14" s="346"/>
      <c r="K14" s="346"/>
      <c r="L14" s="898"/>
      <c r="M14" s="346"/>
      <c r="N14" s="346"/>
    </row>
    <row r="15" spans="1:31" s="8" customFormat="1" ht="17" outlineLevel="1" x14ac:dyDescent="0.15">
      <c r="B15" s="897"/>
      <c r="C15" s="204" t="s">
        <v>34</v>
      </c>
      <c r="D15" s="871">
        <f>Chem!C8</f>
        <v>187.1</v>
      </c>
      <c r="E15" s="872"/>
      <c r="F15" s="346"/>
      <c r="K15" s="346"/>
      <c r="L15" s="898"/>
      <c r="M15" s="346"/>
      <c r="N15" s="346"/>
    </row>
    <row r="16" spans="1:31" s="8" customFormat="1" ht="17" outlineLevel="1" x14ac:dyDescent="0.15">
      <c r="B16" s="897"/>
      <c r="C16" s="204" t="s">
        <v>35</v>
      </c>
      <c r="D16" s="871">
        <f>Chem!C23</f>
        <v>35</v>
      </c>
      <c r="E16" s="872"/>
      <c r="F16" s="346"/>
      <c r="K16" s="346"/>
      <c r="L16" s="898"/>
      <c r="M16" s="346"/>
      <c r="N16" s="346"/>
    </row>
    <row r="17" spans="2:25" s="8" customFormat="1" ht="17" outlineLevel="1" x14ac:dyDescent="0.15">
      <c r="B17" s="897"/>
      <c r="C17" s="204" t="s">
        <v>36</v>
      </c>
      <c r="D17" s="871">
        <f>Chem!C32</f>
        <v>20</v>
      </c>
      <c r="E17" s="872"/>
      <c r="F17" s="346"/>
      <c r="K17" s="346"/>
      <c r="L17" s="898"/>
      <c r="M17" s="346"/>
      <c r="N17" s="346"/>
    </row>
    <row r="18" spans="2:25" s="8" customFormat="1" ht="17" outlineLevel="1" x14ac:dyDescent="0.15">
      <c r="B18" s="897"/>
      <c r="C18" s="204" t="s">
        <v>37</v>
      </c>
      <c r="D18" s="871">
        <f>Chem!C27</f>
        <v>120</v>
      </c>
      <c r="E18" s="872"/>
      <c r="F18" s="346"/>
      <c r="K18" s="346"/>
      <c r="L18" s="898"/>
      <c r="M18" s="346"/>
      <c r="N18" s="346"/>
    </row>
    <row r="19" spans="2:25" s="8" customFormat="1" outlineLevel="1" x14ac:dyDescent="0.15">
      <c r="B19" s="897"/>
      <c r="C19" s="199"/>
      <c r="D19" s="199"/>
      <c r="E19" s="199"/>
      <c r="F19" s="346"/>
      <c r="K19" s="346"/>
      <c r="L19" s="898"/>
      <c r="M19" s="346"/>
      <c r="N19" s="346"/>
    </row>
    <row r="20" spans="2:25" s="8" customFormat="1" ht="17" outlineLevel="1" x14ac:dyDescent="0.2">
      <c r="B20" s="897"/>
      <c r="C20" s="952" t="str">
        <f>"Negative Electrode: " &amp; IFERROR(INDEX(_chem_formulas,MATCH(Chem!C36,_materials,0)), Chem!C36)</f>
        <v>Negative Electrode: Graphite</v>
      </c>
      <c r="D20" s="866"/>
      <c r="E20" s="870"/>
      <c r="F20" s="346"/>
      <c r="K20" s="346"/>
      <c r="L20" s="898"/>
      <c r="M20" s="346"/>
      <c r="N20" s="346"/>
    </row>
    <row r="21" spans="2:25" s="8" customFormat="1" ht="17" outlineLevel="1" x14ac:dyDescent="0.15">
      <c r="B21" s="897"/>
      <c r="C21" s="204" t="s">
        <v>38</v>
      </c>
      <c r="D21" s="871">
        <f>Chem!C38</f>
        <v>360.4</v>
      </c>
      <c r="E21" s="872"/>
      <c r="F21" s="346"/>
      <c r="K21" s="346"/>
      <c r="L21" s="898"/>
      <c r="M21" s="346"/>
      <c r="N21" s="346"/>
    </row>
    <row r="22" spans="2:25" s="8" customFormat="1" ht="17" outlineLevel="1" x14ac:dyDescent="0.15">
      <c r="B22" s="897"/>
      <c r="C22" s="204" t="s">
        <v>39</v>
      </c>
      <c r="D22" s="873">
        <f>Chem!C37</f>
        <v>1.1000000000000001</v>
      </c>
      <c r="E22" s="872"/>
      <c r="F22" s="346"/>
      <c r="K22" s="346"/>
      <c r="L22" s="898"/>
      <c r="M22" s="346"/>
      <c r="N22" s="346"/>
    </row>
    <row r="23" spans="2:25" s="8" customFormat="1" ht="17" outlineLevel="1" x14ac:dyDescent="0.15">
      <c r="B23" s="897"/>
      <c r="C23" s="204" t="s">
        <v>40</v>
      </c>
      <c r="D23" s="871">
        <f>Chem!C53</f>
        <v>35</v>
      </c>
      <c r="E23" s="872"/>
      <c r="F23" s="346"/>
      <c r="K23" s="346"/>
      <c r="L23" s="898"/>
      <c r="M23" s="346"/>
      <c r="N23" s="346"/>
    </row>
    <row r="24" spans="2:25" s="8" customFormat="1" ht="17" outlineLevel="1" x14ac:dyDescent="0.15">
      <c r="B24" s="897"/>
      <c r="C24" s="204" t="s">
        <v>41</v>
      </c>
      <c r="D24" s="871">
        <f>Chem!C60</f>
        <v>15</v>
      </c>
      <c r="E24" s="872"/>
      <c r="F24" s="346"/>
      <c r="K24" s="346"/>
      <c r="L24" s="898"/>
      <c r="M24" s="346"/>
      <c r="N24" s="346"/>
    </row>
    <row r="25" spans="2:25" s="8" customFormat="1" outlineLevel="1" x14ac:dyDescent="0.15">
      <c r="B25" s="897"/>
      <c r="C25" s="204"/>
      <c r="D25" s="351"/>
      <c r="E25" s="351"/>
      <c r="F25" s="346"/>
      <c r="K25" s="346"/>
      <c r="L25" s="898"/>
      <c r="M25" s="346"/>
      <c r="N25" s="346"/>
    </row>
    <row r="26" spans="2:25" s="8" customFormat="1" ht="17" outlineLevel="1" x14ac:dyDescent="0.15">
      <c r="B26" s="897"/>
      <c r="C26" s="204" t="s">
        <v>42</v>
      </c>
      <c r="D26" s="871">
        <f>Chem!C63</f>
        <v>15</v>
      </c>
      <c r="E26" s="872"/>
      <c r="F26" s="346"/>
      <c r="K26" s="346"/>
      <c r="L26" s="898"/>
      <c r="M26" s="346"/>
      <c r="N26" s="346"/>
    </row>
    <row r="27" spans="2:25" s="8" customFormat="1" outlineLevel="1" x14ac:dyDescent="0.15">
      <c r="B27" s="897"/>
      <c r="C27" s="199"/>
      <c r="D27" s="199"/>
      <c r="E27" s="199"/>
      <c r="F27" s="346"/>
      <c r="K27" s="346"/>
      <c r="L27" s="898"/>
      <c r="M27" s="346"/>
      <c r="N27" s="346"/>
    </row>
    <row r="28" spans="2:25" s="8" customFormat="1" ht="17" outlineLevel="1" x14ac:dyDescent="0.15">
      <c r="B28" s="897"/>
      <c r="C28" s="204" t="s">
        <v>43</v>
      </c>
      <c r="D28" s="871" t="str">
        <f>IF(Chem!D36 = "G", E28, "No")</f>
        <v>No</v>
      </c>
      <c r="E28" s="1116" t="s">
        <v>44</v>
      </c>
      <c r="F28" s="346"/>
      <c r="K28" s="346"/>
      <c r="L28" s="898"/>
      <c r="M28" s="346"/>
      <c r="N28" s="346"/>
    </row>
    <row r="29" spans="2:25" s="8" customFormat="1" ht="17" outlineLevel="1" x14ac:dyDescent="0.15">
      <c r="B29" s="897"/>
      <c r="C29" s="204" t="s">
        <v>45</v>
      </c>
      <c r="D29" s="871">
        <f>IF(D28 = "No", 0, E29)</f>
        <v>0</v>
      </c>
      <c r="E29" s="1116">
        <v>20</v>
      </c>
      <c r="F29" s="346"/>
      <c r="K29" s="346"/>
      <c r="L29" s="898"/>
      <c r="M29" s="346"/>
      <c r="N29" s="346"/>
    </row>
    <row r="30" spans="2:25" s="8" customFormat="1" ht="13.5" customHeight="1" outlineLevel="1" thickBot="1" x14ac:dyDescent="0.2">
      <c r="B30" s="902"/>
      <c r="C30" s="433"/>
      <c r="D30" s="433"/>
      <c r="E30" s="433"/>
      <c r="F30" s="433"/>
      <c r="G30" s="433"/>
      <c r="H30" s="433"/>
      <c r="I30" s="433"/>
      <c r="J30" s="433"/>
      <c r="K30" s="433"/>
      <c r="L30" s="903"/>
      <c r="M30" s="346"/>
      <c r="N30" s="346"/>
    </row>
    <row r="31" spans="2:25" s="237" customFormat="1" ht="19" thickBot="1" x14ac:dyDescent="0.25">
      <c r="B31" s="876" t="s">
        <v>20</v>
      </c>
      <c r="C31" s="877"/>
      <c r="D31" s="884"/>
      <c r="E31" s="885"/>
      <c r="F31" s="882"/>
      <c r="G31" s="881"/>
      <c r="H31" s="881"/>
      <c r="I31" s="881"/>
      <c r="J31" s="886"/>
      <c r="K31" s="882"/>
      <c r="L31" s="883"/>
      <c r="M31" s="867"/>
      <c r="N31" s="867"/>
      <c r="Q31" s="887"/>
    </row>
    <row r="32" spans="2:25" ht="19" thickBot="1" x14ac:dyDescent="0.25">
      <c r="B32" s="1243" t="s">
        <v>46</v>
      </c>
      <c r="C32" s="1244"/>
      <c r="D32" s="1244"/>
      <c r="E32" s="1244"/>
      <c r="F32" s="1244"/>
      <c r="G32" s="1244"/>
      <c r="H32" s="1244"/>
      <c r="I32" s="1244"/>
      <c r="J32" s="1244"/>
      <c r="K32" s="1244"/>
      <c r="L32" s="1245"/>
      <c r="M32" s="199"/>
      <c r="N32" s="231"/>
      <c r="O32" s="8"/>
      <c r="P32" s="8"/>
      <c r="Q32" s="8"/>
      <c r="R32" s="8"/>
      <c r="S32" s="8"/>
      <c r="T32" s="8"/>
      <c r="U32" s="8"/>
      <c r="V32" s="8"/>
      <c r="W32" s="8"/>
      <c r="X32" s="8"/>
      <c r="Y32" s="8"/>
    </row>
    <row r="33" spans="2:30" ht="17" outlineLevel="1" x14ac:dyDescent="0.2">
      <c r="B33" s="200"/>
      <c r="D33" s="930" t="s">
        <v>29</v>
      </c>
      <c r="E33" s="869" t="s">
        <v>30</v>
      </c>
      <c r="F33" s="199"/>
      <c r="K33" s="199"/>
      <c r="L33" s="202"/>
      <c r="M33" s="199"/>
      <c r="N33"/>
      <c r="O33"/>
      <c r="P33"/>
      <c r="Q33"/>
      <c r="R33"/>
      <c r="S33"/>
      <c r="T33"/>
      <c r="U33"/>
      <c r="V33"/>
      <c r="W33"/>
      <c r="X33"/>
      <c r="Y33"/>
      <c r="Z33"/>
      <c r="AA33"/>
      <c r="AB33"/>
      <c r="AC33"/>
      <c r="AD33"/>
    </row>
    <row r="34" spans="2:30" ht="30.75" customHeight="1" outlineLevel="1" x14ac:dyDescent="0.2">
      <c r="B34" s="200"/>
      <c r="C34" s="204" t="s">
        <v>47</v>
      </c>
      <c r="D34" s="984" t="str">
        <f>E34</f>
        <v>EV</v>
      </c>
      <c r="E34" s="985" t="s">
        <v>48</v>
      </c>
      <c r="F34" s="1252" t="str">
        <f>IF(E36="Yes", "&lt;&lt;&lt; Fast Charging only usable for select vehicles", "")</f>
        <v/>
      </c>
      <c r="G34" s="1253"/>
      <c r="H34" s="953" t="s">
        <v>49</v>
      </c>
      <c r="I34" s="955">
        <f>IF(J34="", 'Vehicle Considerations'!B18, J34)</f>
        <v>95</v>
      </c>
      <c r="J34" s="872"/>
      <c r="K34" s="199"/>
      <c r="L34" s="202"/>
      <c r="M34" s="199"/>
      <c r="N34"/>
      <c r="O34"/>
      <c r="P34"/>
      <c r="Q34"/>
      <c r="R34"/>
      <c r="S34"/>
      <c r="T34"/>
      <c r="U34"/>
      <c r="V34"/>
      <c r="W34"/>
      <c r="X34"/>
      <c r="Y34"/>
      <c r="Z34"/>
      <c r="AA34"/>
      <c r="AB34"/>
      <c r="AC34"/>
      <c r="AD34"/>
    </row>
    <row r="35" spans="2:30" ht="30.75" customHeight="1" outlineLevel="1" x14ac:dyDescent="0.2">
      <c r="B35" s="200"/>
      <c r="C35" s="204" t="s">
        <v>50</v>
      </c>
      <c r="D35" s="984" t="str">
        <f>E35</f>
        <v>Cost</v>
      </c>
      <c r="E35" s="985" t="s">
        <v>51</v>
      </c>
      <c r="H35" s="954" t="s">
        <v>52</v>
      </c>
      <c r="I35" s="966">
        <f>IF(J35="", 'Vehicle Considerations'!B19, J35)</f>
        <v>10</v>
      </c>
      <c r="J35" s="872"/>
      <c r="K35" s="199"/>
      <c r="L35" s="202"/>
      <c r="M35" s="199"/>
      <c r="N35"/>
      <c r="O35"/>
      <c r="P35"/>
      <c r="Q35"/>
      <c r="R35"/>
      <c r="S35"/>
      <c r="T35"/>
      <c r="U35"/>
      <c r="V35"/>
      <c r="W35"/>
      <c r="X35"/>
      <c r="Y35"/>
      <c r="Z35"/>
      <c r="AA35"/>
      <c r="AB35"/>
      <c r="AC35"/>
      <c r="AD35"/>
    </row>
    <row r="36" spans="2:30" ht="47.25" customHeight="1" outlineLevel="1" thickBot="1" x14ac:dyDescent="0.25">
      <c r="B36" s="200"/>
      <c r="C36" s="204" t="s">
        <v>53</v>
      </c>
      <c r="D36" s="1146" t="str">
        <f>IF('Vehicle Considerations'!B21,E36,"No")</f>
        <v>No</v>
      </c>
      <c r="E36" s="1147" t="s">
        <v>44</v>
      </c>
      <c r="F36" s="931"/>
      <c r="H36" s="954" t="str">
        <f>"Useable battery energy, % of total ("  &amp;E34 &amp;")"</f>
        <v>Useable battery energy, % of total (EV)</v>
      </c>
      <c r="I36" s="955">
        <f>I34-I35</f>
        <v>85</v>
      </c>
      <c r="K36" s="199"/>
      <c r="L36" s="202"/>
      <c r="M36" s="199"/>
      <c r="N36"/>
      <c r="O36"/>
      <c r="P36"/>
      <c r="Q36"/>
      <c r="R36"/>
      <c r="S36"/>
      <c r="T36"/>
      <c r="U36"/>
      <c r="V36"/>
      <c r="W36"/>
      <c r="X36"/>
      <c r="Y36"/>
      <c r="Z36"/>
      <c r="AA36"/>
      <c r="AB36"/>
      <c r="AC36"/>
      <c r="AD36"/>
    </row>
    <row r="37" spans="2:30" ht="19" collapsed="1" thickBot="1" x14ac:dyDescent="0.25">
      <c r="B37" s="1243" t="s">
        <v>54</v>
      </c>
      <c r="C37" s="1244"/>
      <c r="D37" s="1244"/>
      <c r="E37" s="1244"/>
      <c r="F37" s="1244"/>
      <c r="G37" s="1244"/>
      <c r="H37" s="1244"/>
      <c r="I37" s="1244"/>
      <c r="J37" s="1244"/>
      <c r="K37" s="1244"/>
      <c r="L37" s="1245"/>
      <c r="M37" s="199"/>
      <c r="N37"/>
      <c r="O37"/>
      <c r="P37"/>
      <c r="Q37"/>
      <c r="R37"/>
      <c r="S37"/>
      <c r="T37"/>
      <c r="U37"/>
      <c r="V37"/>
      <c r="W37"/>
      <c r="X37"/>
      <c r="Y37"/>
      <c r="Z37"/>
      <c r="AA37"/>
      <c r="AB37"/>
      <c r="AC37"/>
      <c r="AD37"/>
    </row>
    <row r="38" spans="2:30" ht="18" thickBot="1" x14ac:dyDescent="0.25">
      <c r="B38" s="434"/>
      <c r="C38" s="920" t="s">
        <v>55</v>
      </c>
      <c r="D38" s="210"/>
      <c r="E38" s="210"/>
      <c r="F38" s="211"/>
      <c r="G38" s="211"/>
      <c r="H38" s="211"/>
      <c r="I38" s="211"/>
      <c r="J38" s="211"/>
      <c r="K38" s="435"/>
      <c r="L38" s="436"/>
      <c r="M38" s="199"/>
      <c r="N38"/>
      <c r="O38"/>
      <c r="P38"/>
      <c r="Q38"/>
      <c r="R38"/>
      <c r="S38"/>
      <c r="T38"/>
      <c r="U38"/>
      <c r="V38"/>
      <c r="W38"/>
      <c r="X38"/>
      <c r="Y38"/>
      <c r="Z38"/>
      <c r="AA38"/>
      <c r="AB38"/>
      <c r="AC38"/>
      <c r="AD38"/>
    </row>
    <row r="39" spans="2:30" ht="17" outlineLevel="1" thickBot="1" x14ac:dyDescent="0.25">
      <c r="B39" s="200"/>
      <c r="D39" s="909" t="s">
        <v>56</v>
      </c>
      <c r="E39" s="910" t="s">
        <v>57</v>
      </c>
      <c r="F39" s="910" t="s">
        <v>58</v>
      </c>
      <c r="G39" s="910" t="s">
        <v>59</v>
      </c>
      <c r="H39" s="910" t="s">
        <v>60</v>
      </c>
      <c r="I39" s="910" t="s">
        <v>61</v>
      </c>
      <c r="J39" s="911" t="s">
        <v>62</v>
      </c>
      <c r="K39" s="199"/>
      <c r="L39" s="202"/>
      <c r="M39" s="199"/>
      <c r="N39"/>
      <c r="O39"/>
      <c r="P39"/>
      <c r="Q39"/>
      <c r="R39"/>
      <c r="S39"/>
      <c r="T39"/>
      <c r="U39"/>
      <c r="V39"/>
      <c r="W39"/>
      <c r="X39"/>
      <c r="Y39"/>
      <c r="Z39"/>
      <c r="AA39"/>
      <c r="AB39"/>
      <c r="AC39"/>
      <c r="AD39"/>
    </row>
    <row r="40" spans="2:30" ht="17" outlineLevel="1" x14ac:dyDescent="0.2">
      <c r="B40" s="200"/>
      <c r="C40" s="204" t="s">
        <v>63</v>
      </c>
      <c r="D40" s="921">
        <v>300</v>
      </c>
      <c r="E40" s="921">
        <v>300</v>
      </c>
      <c r="F40" s="921">
        <v>300</v>
      </c>
      <c r="G40" s="921">
        <v>300</v>
      </c>
      <c r="H40" s="921">
        <v>300</v>
      </c>
      <c r="I40" s="921">
        <v>300</v>
      </c>
      <c r="J40" s="921">
        <v>300</v>
      </c>
      <c r="K40" s="199"/>
      <c r="L40" s="202"/>
      <c r="M40" s="199"/>
      <c r="N40"/>
      <c r="O40"/>
      <c r="P40"/>
      <c r="Q40"/>
      <c r="R40"/>
      <c r="S40"/>
      <c r="T40"/>
      <c r="U40"/>
      <c r="V40"/>
      <c r="W40"/>
      <c r="X40"/>
      <c r="Y40"/>
      <c r="Z40"/>
      <c r="AA40"/>
      <c r="AB40"/>
      <c r="AC40"/>
      <c r="AD40"/>
    </row>
    <row r="41" spans="2:30" outlineLevel="1" x14ac:dyDescent="0.2">
      <c r="B41" s="200"/>
      <c r="K41" s="199"/>
      <c r="L41" s="202"/>
      <c r="M41" s="199"/>
      <c r="N41"/>
      <c r="O41"/>
      <c r="P41"/>
      <c r="Q41"/>
      <c r="R41"/>
      <c r="S41"/>
      <c r="T41"/>
      <c r="U41"/>
      <c r="V41"/>
      <c r="W41"/>
      <c r="X41"/>
      <c r="Y41"/>
      <c r="Z41"/>
      <c r="AA41"/>
      <c r="AB41"/>
      <c r="AC41"/>
      <c r="AD41"/>
    </row>
    <row r="42" spans="2:30" ht="17" outlineLevel="1" x14ac:dyDescent="0.2">
      <c r="B42" s="200"/>
      <c r="C42" s="204" t="s">
        <v>64</v>
      </c>
      <c r="D42" s="1255" t="s">
        <v>65</v>
      </c>
      <c r="E42" s="1255"/>
      <c r="F42" s="1255"/>
      <c r="G42" s="1255"/>
      <c r="H42" s="1255"/>
      <c r="I42" s="1255"/>
      <c r="J42" s="1255"/>
      <c r="K42" s="199"/>
      <c r="L42" s="202"/>
      <c r="M42" s="199"/>
      <c r="N42"/>
      <c r="O42"/>
      <c r="P42"/>
      <c r="Q42"/>
      <c r="R42"/>
      <c r="S42"/>
      <c r="T42"/>
      <c r="U42"/>
      <c r="V42"/>
      <c r="W42"/>
      <c r="X42"/>
      <c r="Y42"/>
      <c r="Z42"/>
      <c r="AA42"/>
      <c r="AB42"/>
      <c r="AC42"/>
      <c r="AD42"/>
    </row>
    <row r="43" spans="2:30" x14ac:dyDescent="0.2">
      <c r="B43" s="212"/>
      <c r="L43" s="201"/>
    </row>
    <row r="44" spans="2:30" ht="17" outlineLevel="1" x14ac:dyDescent="0.2">
      <c r="B44" s="212"/>
      <c r="C44" s="204" t="s">
        <v>66</v>
      </c>
      <c r="D44" s="922">
        <f>IF(D45 = "", 'Vehicle Considerations'!$B$15, IF($D$42 = "Yes", 'Vehicle Considerations'!$B$15,D45))</f>
        <v>10</v>
      </c>
      <c r="E44" s="922">
        <f>IF(E45 = "", 'Vehicle Considerations'!$B$15, IF($D$42 = "Yes", 'Vehicle Considerations'!$B$15,E45))</f>
        <v>10</v>
      </c>
      <c r="F44" s="922">
        <f>IF(F45 = "", 'Vehicle Considerations'!$B$15, IF($D$42 = "Yes", 'Vehicle Considerations'!$B$15,F45))</f>
        <v>10</v>
      </c>
      <c r="G44" s="922">
        <f>IF(G45 = "", 'Vehicle Considerations'!$B$15, IF($D$42 = "Yes", 'Vehicle Considerations'!$B$15,G45))</f>
        <v>10</v>
      </c>
      <c r="H44" s="922">
        <f>IF(H45 = "", 'Vehicle Considerations'!$B$15, IF($D$42 = "Yes", 'Vehicle Considerations'!$B$15,H45))</f>
        <v>10</v>
      </c>
      <c r="I44" s="922">
        <f>IF(I45 = "", 'Vehicle Considerations'!$B$15, IF($D$42 = "Yes", 'Vehicle Considerations'!$B$15,I45))</f>
        <v>10</v>
      </c>
      <c r="J44" s="922">
        <f>IF(J45 = "", 'Vehicle Considerations'!$B$15, IF($D$42 = "Yes", 'Vehicle Considerations'!$B$15,J45))</f>
        <v>10</v>
      </c>
      <c r="L44" s="201"/>
    </row>
    <row r="45" spans="2:30" ht="17" outlineLevel="1" x14ac:dyDescent="0.2">
      <c r="B45" s="212"/>
      <c r="C45" s="204" t="s">
        <v>67</v>
      </c>
      <c r="D45" s="618">
        <v>10</v>
      </c>
      <c r="E45" s="618">
        <v>20</v>
      </c>
      <c r="F45" s="618">
        <v>30</v>
      </c>
      <c r="G45" s="618">
        <v>40</v>
      </c>
      <c r="H45" s="618">
        <v>50</v>
      </c>
      <c r="I45" s="618">
        <v>60</v>
      </c>
      <c r="J45" s="618">
        <v>70</v>
      </c>
      <c r="L45" s="201"/>
    </row>
    <row r="46" spans="2:30" ht="17" outlineLevel="1" x14ac:dyDescent="0.2">
      <c r="B46" s="212"/>
      <c r="C46" s="204" t="s">
        <v>68</v>
      </c>
      <c r="D46" s="871">
        <f>IF(D47 = "", 'Vehicle Considerations'!$B$16, IF($D$42 = "Yes", 'Vehicle Considerations'!$B$16,D47))</f>
        <v>20</v>
      </c>
      <c r="E46" s="871">
        <f>IF(E47 = "", 'Vehicle Considerations'!$B$16, IF($D$42 = "Yes", 'Vehicle Considerations'!$B$16,E47))</f>
        <v>20</v>
      </c>
      <c r="F46" s="871">
        <f>IF(F47 = "", 'Vehicle Considerations'!$B$16, IF($D$42 = "Yes", 'Vehicle Considerations'!$B$16,F47))</f>
        <v>20</v>
      </c>
      <c r="G46" s="871">
        <f>IF(G47 = "", 'Vehicle Considerations'!$B$16, IF($D$42 = "Yes", 'Vehicle Considerations'!$B$16,G47))</f>
        <v>20</v>
      </c>
      <c r="H46" s="871">
        <f>IF(H47 = "", 'Vehicle Considerations'!$B$16, IF($D$42 = "Yes", 'Vehicle Considerations'!$B$16,H47))</f>
        <v>20</v>
      </c>
      <c r="I46" s="871">
        <f>IF(I47 = "", 'Vehicle Considerations'!$B$16, IF($D$42 = "Yes", 'Vehicle Considerations'!$B$16,I47))</f>
        <v>20</v>
      </c>
      <c r="J46" s="871">
        <f>IF(J47 = "", 'Vehicle Considerations'!$B$16, IF($D$42 = "Yes", 'Vehicle Considerations'!$B$16,J47))</f>
        <v>20</v>
      </c>
      <c r="L46" s="201"/>
    </row>
    <row r="47" spans="2:30" s="8" customFormat="1" ht="17" outlineLevel="1" x14ac:dyDescent="0.2">
      <c r="B47" s="357"/>
      <c r="C47" s="204" t="s">
        <v>69</v>
      </c>
      <c r="D47" s="618">
        <v>50</v>
      </c>
      <c r="E47" s="618">
        <v>50</v>
      </c>
      <c r="F47" s="618">
        <v>50</v>
      </c>
      <c r="G47" s="618">
        <v>50</v>
      </c>
      <c r="H47" s="618">
        <v>50</v>
      </c>
      <c r="I47" s="618">
        <v>50</v>
      </c>
      <c r="J47" s="618">
        <v>15</v>
      </c>
      <c r="L47" s="590"/>
    </row>
    <row r="48" spans="2:30" outlineLevel="1" x14ac:dyDescent="0.2">
      <c r="B48" s="212"/>
      <c r="L48" s="201"/>
    </row>
    <row r="49" spans="2:30" ht="34" outlineLevel="1" x14ac:dyDescent="0.2">
      <c r="B49" s="212"/>
      <c r="C49" s="204" t="s">
        <v>70</v>
      </c>
      <c r="D49" s="928">
        <v>30</v>
      </c>
      <c r="E49" s="928">
        <v>30</v>
      </c>
      <c r="F49" s="928">
        <v>30</v>
      </c>
      <c r="G49" s="928">
        <v>30</v>
      </c>
      <c r="H49" s="928">
        <v>30</v>
      </c>
      <c r="I49" s="928">
        <v>30</v>
      </c>
      <c r="J49" s="928">
        <v>30</v>
      </c>
      <c r="L49" s="201"/>
    </row>
    <row r="50" spans="2:30" ht="17" outlineLevel="1" thickBot="1" x14ac:dyDescent="0.25">
      <c r="B50" s="212"/>
      <c r="L50" s="201"/>
    </row>
    <row r="51" spans="2:30" ht="18" thickBot="1" x14ac:dyDescent="0.25">
      <c r="B51" s="212"/>
      <c r="C51" s="923" t="s">
        <v>71</v>
      </c>
      <c r="L51" s="201"/>
    </row>
    <row r="52" spans="2:30" ht="17" outlineLevel="1" thickBot="1" x14ac:dyDescent="0.25">
      <c r="B52" s="200"/>
      <c r="C52" s="1016" t="str">
        <f>"Fill in value for either capacity or energy"</f>
        <v>Fill in value for either capacity or energy</v>
      </c>
      <c r="D52" s="909" t="s">
        <v>56</v>
      </c>
      <c r="E52" s="910" t="s">
        <v>57</v>
      </c>
      <c r="F52" s="910" t="s">
        <v>58</v>
      </c>
      <c r="G52" s="910" t="s">
        <v>59</v>
      </c>
      <c r="H52" s="910" t="s">
        <v>60</v>
      </c>
      <c r="I52" s="910" t="s">
        <v>61</v>
      </c>
      <c r="J52" s="911" t="s">
        <v>62</v>
      </c>
      <c r="K52" s="199"/>
      <c r="L52" s="202"/>
      <c r="M52" s="199"/>
      <c r="N52"/>
      <c r="O52"/>
      <c r="P52"/>
      <c r="Q52"/>
      <c r="R52"/>
      <c r="S52"/>
      <c r="T52"/>
      <c r="U52"/>
      <c r="V52"/>
      <c r="W52"/>
      <c r="X52"/>
      <c r="Y52"/>
      <c r="Z52"/>
      <c r="AA52"/>
      <c r="AB52"/>
      <c r="AC52"/>
      <c r="AD52"/>
    </row>
    <row r="53" spans="2:30" s="8" customFormat="1" ht="17" outlineLevel="1" x14ac:dyDescent="0.2">
      <c r="B53" s="897"/>
      <c r="C53" s="204" t="s">
        <v>72</v>
      </c>
      <c r="D53" s="921"/>
      <c r="E53" s="921"/>
      <c r="F53" s="921"/>
      <c r="G53" s="921"/>
      <c r="H53" s="921"/>
      <c r="I53" s="921"/>
      <c r="J53" s="921"/>
      <c r="K53" s="346"/>
      <c r="L53" s="898"/>
      <c r="M53" s="901"/>
    </row>
    <row r="54" spans="2:30" s="8" customFormat="1" ht="17" outlineLevel="1" x14ac:dyDescent="0.2">
      <c r="B54" s="897"/>
      <c r="C54" s="204" t="s">
        <v>73</v>
      </c>
      <c r="D54" s="924">
        <v>100</v>
      </c>
      <c r="E54" s="924">
        <v>100</v>
      </c>
      <c r="F54" s="924">
        <v>100</v>
      </c>
      <c r="G54" s="924">
        <v>100</v>
      </c>
      <c r="H54" s="924">
        <v>100</v>
      </c>
      <c r="I54" s="924">
        <v>100</v>
      </c>
      <c r="J54" s="924">
        <v>100</v>
      </c>
      <c r="K54" s="346"/>
      <c r="L54" s="898"/>
      <c r="M54" s="901"/>
    </row>
    <row r="55" spans="2:30" s="8" customFormat="1" ht="17" outlineLevel="1" thickBot="1" x14ac:dyDescent="0.25">
      <c r="B55" s="897"/>
      <c r="C55" s="865"/>
      <c r="D55" s="6"/>
      <c r="E55" s="6"/>
      <c r="F55" s="6"/>
      <c r="G55" s="6"/>
      <c r="H55" s="6"/>
      <c r="I55" s="6"/>
      <c r="J55" s="6"/>
      <c r="K55" s="346"/>
      <c r="L55" s="898"/>
      <c r="M55" s="346"/>
    </row>
    <row r="56" spans="2:30" s="8" customFormat="1" ht="18" thickBot="1" x14ac:dyDescent="0.2">
      <c r="B56" s="357"/>
      <c r="C56" s="920" t="s">
        <v>74</v>
      </c>
      <c r="D56" s="351"/>
      <c r="E56" s="351"/>
      <c r="F56" s="351"/>
      <c r="G56" s="351"/>
      <c r="H56" s="351"/>
      <c r="I56" s="351"/>
      <c r="J56" s="351"/>
      <c r="K56" s="346"/>
      <c r="L56" s="898"/>
      <c r="M56" s="346"/>
    </row>
    <row r="57" spans="2:30" ht="17" outlineLevel="1" thickBot="1" x14ac:dyDescent="0.25">
      <c r="B57" s="205"/>
      <c r="D57" s="909" t="s">
        <v>56</v>
      </c>
      <c r="E57" s="910" t="s">
        <v>57</v>
      </c>
      <c r="F57" s="910" t="s">
        <v>58</v>
      </c>
      <c r="G57" s="910" t="s">
        <v>59</v>
      </c>
      <c r="H57" s="910" t="s">
        <v>60</v>
      </c>
      <c r="I57" s="910" t="s">
        <v>61</v>
      </c>
      <c r="J57" s="911" t="s">
        <v>62</v>
      </c>
      <c r="K57" s="199"/>
      <c r="L57" s="202"/>
      <c r="M57" s="199"/>
      <c r="N57"/>
      <c r="O57"/>
      <c r="P57"/>
      <c r="Q57"/>
      <c r="R57"/>
      <c r="S57"/>
      <c r="T57"/>
      <c r="U57"/>
      <c r="V57"/>
      <c r="W57"/>
      <c r="X57"/>
      <c r="Y57"/>
      <c r="Z57"/>
      <c r="AA57"/>
      <c r="AB57"/>
      <c r="AC57"/>
      <c r="AD57"/>
    </row>
    <row r="58" spans="2:30" outlineLevel="1" x14ac:dyDescent="0.2">
      <c r="B58" s="200"/>
      <c r="C58" s="6" t="str">
        <f xml:space="preserve"> IF(D36 = "Yes", "Fast Charging Requirements**", "To select time to recharge, fast charge must be enabled")</f>
        <v>To select time to recharge, fast charge must be enabled</v>
      </c>
      <c r="D58" s="1024">
        <f>1</f>
        <v>1</v>
      </c>
      <c r="K58" s="199"/>
      <c r="L58" s="202"/>
      <c r="M58" s="199"/>
      <c r="N58"/>
      <c r="O58"/>
      <c r="P58"/>
      <c r="Q58"/>
      <c r="R58"/>
      <c r="S58"/>
      <c r="T58"/>
      <c r="U58"/>
      <c r="V58"/>
      <c r="W58"/>
      <c r="X58"/>
      <c r="Y58"/>
      <c r="Z58"/>
      <c r="AA58"/>
      <c r="AB58"/>
      <c r="AC58"/>
      <c r="AD58"/>
    </row>
    <row r="59" spans="2:30" ht="17" outlineLevel="1" x14ac:dyDescent="0.2">
      <c r="B59" s="200"/>
      <c r="C59" s="204" t="s">
        <v>75</v>
      </c>
      <c r="D59" s="925">
        <v>60</v>
      </c>
      <c r="E59" s="925">
        <v>45</v>
      </c>
      <c r="F59" s="925">
        <v>30</v>
      </c>
      <c r="G59" s="925">
        <v>25</v>
      </c>
      <c r="H59" s="925">
        <v>20</v>
      </c>
      <c r="I59" s="925">
        <v>15</v>
      </c>
      <c r="J59" s="925">
        <v>10</v>
      </c>
      <c r="K59" s="199"/>
      <c r="L59" s="202"/>
      <c r="M59" s="199"/>
      <c r="N59"/>
      <c r="O59"/>
      <c r="P59"/>
      <c r="Q59"/>
      <c r="R59"/>
      <c r="S59"/>
      <c r="T59"/>
      <c r="U59"/>
      <c r="V59"/>
      <c r="W59"/>
      <c r="X59"/>
      <c r="Y59"/>
      <c r="Z59"/>
      <c r="AA59"/>
      <c r="AB59"/>
      <c r="AC59"/>
      <c r="AD59"/>
    </row>
    <row r="60" spans="2:30" outlineLevel="1" x14ac:dyDescent="0.2">
      <c r="B60" s="200"/>
      <c r="C60" s="6" t="s">
        <v>76</v>
      </c>
      <c r="K60" s="199"/>
      <c r="L60" s="202"/>
      <c r="M60" s="199"/>
      <c r="N60"/>
      <c r="O60"/>
      <c r="P60"/>
      <c r="Q60"/>
      <c r="R60"/>
      <c r="S60"/>
      <c r="T60"/>
      <c r="U60"/>
      <c r="V60"/>
      <c r="W60"/>
      <c r="X60"/>
      <c r="Y60"/>
      <c r="Z60"/>
      <c r="AA60"/>
      <c r="AB60"/>
      <c r="AC60"/>
      <c r="AD60"/>
    </row>
    <row r="61" spans="2:30" outlineLevel="1" x14ac:dyDescent="0.2">
      <c r="B61" s="200"/>
      <c r="C61" s="204"/>
      <c r="D61" s="6"/>
      <c r="E61" s="926"/>
      <c r="K61" s="199"/>
      <c r="L61" s="202"/>
      <c r="M61" s="199"/>
      <c r="N61"/>
      <c r="O61"/>
      <c r="P61"/>
      <c r="Q61"/>
      <c r="R61"/>
      <c r="S61"/>
      <c r="T61"/>
      <c r="U61"/>
      <c r="V61"/>
      <c r="W61"/>
      <c r="X61"/>
      <c r="Y61"/>
      <c r="Z61"/>
      <c r="AA61"/>
      <c r="AB61"/>
      <c r="AC61"/>
      <c r="AD61"/>
    </row>
    <row r="62" spans="2:30" ht="17" outlineLevel="1" x14ac:dyDescent="0.2">
      <c r="B62" s="200"/>
      <c r="C62" s="204" t="s">
        <v>77</v>
      </c>
      <c r="D62" s="927"/>
      <c r="E62" s="927"/>
      <c r="F62" s="927"/>
      <c r="G62" s="927"/>
      <c r="H62" s="927"/>
      <c r="I62" s="927"/>
      <c r="J62" s="927"/>
      <c r="K62" s="199"/>
      <c r="L62" s="202"/>
      <c r="M62" s="199"/>
      <c r="N62"/>
      <c r="O62"/>
      <c r="P62"/>
      <c r="Q62"/>
      <c r="R62"/>
      <c r="S62"/>
      <c r="T62"/>
      <c r="U62"/>
      <c r="V62"/>
      <c r="W62"/>
      <c r="X62"/>
      <c r="Y62"/>
      <c r="Z62"/>
      <c r="AA62"/>
      <c r="AB62"/>
      <c r="AC62"/>
      <c r="AD62"/>
    </row>
    <row r="63" spans="2:30" outlineLevel="1" x14ac:dyDescent="0.2">
      <c r="B63" s="200"/>
      <c r="K63" s="199"/>
      <c r="L63" s="202"/>
      <c r="M63" s="199"/>
      <c r="N63"/>
      <c r="O63"/>
      <c r="P63"/>
      <c r="Q63"/>
      <c r="R63"/>
      <c r="S63"/>
      <c r="T63"/>
      <c r="U63"/>
      <c r="V63"/>
      <c r="W63"/>
      <c r="X63"/>
      <c r="Y63"/>
      <c r="Z63"/>
      <c r="AA63"/>
      <c r="AB63"/>
      <c r="AC63"/>
      <c r="AD63"/>
    </row>
    <row r="64" spans="2:30" ht="17" outlineLevel="1" x14ac:dyDescent="0.2">
      <c r="B64" s="200"/>
      <c r="C64" s="196" t="s">
        <v>78</v>
      </c>
      <c r="D64" s="1205">
        <f>IF(D65= "", 'Vehicle Considerations'!$B$14*MIN(ROUNDDOWN(2500/(D74*D76), 0), 'Vehicle Considerations'!$B$12) + (1- 'Vehicle Considerations'!$B$14)*'Vehicle Considerations'!$B$12, D65)</f>
        <v>20</v>
      </c>
      <c r="E64" s="1205">
        <f>IF(E65= "", 'Vehicle Considerations'!$B$14*MIN(ROUNDDOWN(2500/(E74*E76), 0), 'Vehicle Considerations'!$B$12) + (1- 'Vehicle Considerations'!$B$14)*'Vehicle Considerations'!$B$12, E65)</f>
        <v>20</v>
      </c>
      <c r="F64" s="1205">
        <f>IF(F65= "", 'Vehicle Considerations'!$B$14*MIN(ROUNDDOWN(2500/(F74*F76), 0), 'Vehicle Considerations'!$B$12) + (1- 'Vehicle Considerations'!$B$14)*'Vehicle Considerations'!$B$12, F65)</f>
        <v>20</v>
      </c>
      <c r="G64" s="1205">
        <f>IF(G65= "", 'Vehicle Considerations'!$B$14*MIN(ROUNDDOWN(2500/(G74*G76), 0), 'Vehicle Considerations'!$B$12) + (1- 'Vehicle Considerations'!$B$14)*'Vehicle Considerations'!$B$12, G65)</f>
        <v>20</v>
      </c>
      <c r="H64" s="1205">
        <f>IF(H65= "", 'Vehicle Considerations'!$B$14*MIN(ROUNDDOWN(2500/(H74*H76), 0), 'Vehicle Considerations'!$B$12) + (1- 'Vehicle Considerations'!$B$14)*'Vehicle Considerations'!$B$12, H65)</f>
        <v>20</v>
      </c>
      <c r="I64" s="1205">
        <f>IF(I65= "", 'Vehicle Considerations'!$B$14*MIN(ROUNDDOWN(2500/(I74*I76), 0), 'Vehicle Considerations'!$B$12) + (1- 'Vehicle Considerations'!$B$14)*'Vehicle Considerations'!$B$12, I65)</f>
        <v>20</v>
      </c>
      <c r="J64" s="1205">
        <f>IF(J65= "", 'Vehicle Considerations'!$B$14*MIN(ROUNDDOWN(2500/(J74*J76), 0), 'Vehicle Considerations'!$B$12) + (1- 'Vehicle Considerations'!$B$14)*'Vehicle Considerations'!$B$12, J65)</f>
        <v>20</v>
      </c>
      <c r="K64" s="199"/>
      <c r="L64" s="202"/>
      <c r="M64" s="199"/>
      <c r="N64"/>
      <c r="O64"/>
      <c r="P64"/>
      <c r="Q64"/>
      <c r="R64"/>
      <c r="S64"/>
      <c r="T64"/>
      <c r="U64"/>
      <c r="V64"/>
      <c r="W64"/>
      <c r="X64"/>
      <c r="Y64"/>
      <c r="Z64"/>
      <c r="AA64"/>
      <c r="AB64"/>
      <c r="AC64"/>
      <c r="AD64"/>
    </row>
    <row r="65" spans="2:30" ht="20.75" customHeight="1" outlineLevel="1" x14ac:dyDescent="0.2">
      <c r="B65" s="200"/>
      <c r="C65" s="1182" t="s">
        <v>79</v>
      </c>
      <c r="D65" s="1206"/>
      <c r="E65" s="1206"/>
      <c r="F65" s="1206"/>
      <c r="G65" s="1206"/>
      <c r="H65" s="1206"/>
      <c r="I65" s="1206"/>
      <c r="J65" s="1206"/>
      <c r="K65" s="199"/>
      <c r="L65" s="202"/>
      <c r="M65" s="199"/>
      <c r="N65"/>
      <c r="O65"/>
      <c r="P65"/>
      <c r="Q65"/>
      <c r="R65"/>
      <c r="S65"/>
      <c r="T65"/>
      <c r="U65"/>
      <c r="V65"/>
      <c r="W65"/>
      <c r="X65"/>
      <c r="Y65"/>
      <c r="Z65"/>
      <c r="AA65"/>
      <c r="AB65"/>
      <c r="AC65"/>
      <c r="AD65"/>
    </row>
    <row r="66" spans="2:30" outlineLevel="1" x14ac:dyDescent="0.2">
      <c r="B66" s="200"/>
      <c r="K66" s="199"/>
      <c r="L66" s="202"/>
      <c r="M66" s="199"/>
      <c r="N66"/>
      <c r="O66"/>
      <c r="P66"/>
      <c r="Q66"/>
      <c r="R66"/>
      <c r="S66"/>
      <c r="T66"/>
      <c r="U66"/>
      <c r="V66"/>
      <c r="W66"/>
      <c r="X66"/>
      <c r="Y66"/>
      <c r="Z66"/>
      <c r="AA66"/>
      <c r="AB66"/>
      <c r="AC66"/>
      <c r="AD66"/>
    </row>
    <row r="67" spans="2:30" ht="17" x14ac:dyDescent="0.2">
      <c r="B67" s="200"/>
      <c r="C67" s="196" t="s">
        <v>80</v>
      </c>
      <c r="D67" s="1207">
        <f>IF(D68="",ROUNDDOWN('Vehicle Considerations'!$B$14*6/D77 +  'Vehicle Considerations'!$B$13, 0),D68)</f>
        <v>3</v>
      </c>
      <c r="E67" s="1207">
        <f>IF(E68="",ROUNDDOWN('Vehicle Considerations'!$B$14*6/E77 +  'Vehicle Considerations'!$B$13, 0),E68)</f>
        <v>3</v>
      </c>
      <c r="F67" s="1207">
        <f>IF(F68="",ROUNDDOWN('Vehicle Considerations'!$B$14*6/F77 +  'Vehicle Considerations'!$B$13, 0),F68)</f>
        <v>3</v>
      </c>
      <c r="G67" s="1207">
        <f>IF(G68="",ROUNDDOWN('Vehicle Considerations'!$B$14*6/G77 +  'Vehicle Considerations'!$B$13, 0),G68)</f>
        <v>3</v>
      </c>
      <c r="H67" s="1207">
        <f>IF(H68="",ROUNDDOWN('Vehicle Considerations'!$B$14*6/H77 +  'Vehicle Considerations'!$B$13, 0),H68)</f>
        <v>3</v>
      </c>
      <c r="I67" s="1207">
        <f>IF(I68="",ROUNDDOWN('Vehicle Considerations'!$B$14*6/I77 +  'Vehicle Considerations'!$B$13, 0),I68)</f>
        <v>3</v>
      </c>
      <c r="J67" s="1207">
        <f>IF(J68="",ROUNDDOWN('Vehicle Considerations'!$B$14*6/J77 +  'Vehicle Considerations'!$B$13, 0),J68)</f>
        <v>3</v>
      </c>
      <c r="K67" s="199"/>
      <c r="L67" s="202"/>
      <c r="M67" s="199"/>
      <c r="N67"/>
      <c r="O67"/>
      <c r="P67"/>
      <c r="Q67"/>
      <c r="R67"/>
      <c r="S67"/>
      <c r="T67"/>
      <c r="U67"/>
      <c r="V67"/>
      <c r="W67"/>
      <c r="X67"/>
      <c r="Y67"/>
      <c r="Z67"/>
      <c r="AA67"/>
      <c r="AB67"/>
      <c r="AC67"/>
      <c r="AD67"/>
    </row>
    <row r="68" spans="2:30" ht="20" customHeight="1" outlineLevel="1" x14ac:dyDescent="0.2">
      <c r="B68" s="200"/>
      <c r="C68" s="1182" t="s">
        <v>2429</v>
      </c>
      <c r="D68" s="1208"/>
      <c r="E68" s="1208"/>
      <c r="F68" s="1208"/>
      <c r="G68" s="1208"/>
      <c r="H68" s="1208"/>
      <c r="I68" s="1208"/>
      <c r="J68" s="1208"/>
      <c r="K68" s="199"/>
      <c r="L68" s="202"/>
      <c r="M68" s="199"/>
      <c r="N68"/>
      <c r="O68"/>
      <c r="P68"/>
      <c r="Q68"/>
      <c r="R68"/>
      <c r="S68"/>
      <c r="T68"/>
      <c r="U68"/>
      <c r="V68"/>
      <c r="W68"/>
      <c r="X68"/>
      <c r="Y68"/>
      <c r="Z68"/>
      <c r="AA68"/>
      <c r="AB68"/>
      <c r="AC68"/>
      <c r="AD68"/>
    </row>
    <row r="69" spans="2:30" outlineLevel="1" x14ac:dyDescent="0.2">
      <c r="B69" s="200"/>
      <c r="F69" s="27"/>
      <c r="G69" s="27"/>
      <c r="H69" s="27"/>
      <c r="I69" s="27"/>
      <c r="J69" s="27"/>
      <c r="K69" s="199"/>
      <c r="L69" s="202"/>
      <c r="M69" s="199"/>
      <c r="N69"/>
      <c r="O69"/>
      <c r="P69"/>
      <c r="Q69"/>
      <c r="R69"/>
      <c r="S69"/>
      <c r="T69"/>
      <c r="U69"/>
      <c r="V69"/>
      <c r="W69"/>
      <c r="X69"/>
      <c r="Y69"/>
      <c r="Z69"/>
      <c r="AA69"/>
      <c r="AB69"/>
      <c r="AC69"/>
      <c r="AD69"/>
    </row>
    <row r="70" spans="2:30" outlineLevel="1" x14ac:dyDescent="0.2">
      <c r="B70" s="200"/>
      <c r="C70" s="860"/>
      <c r="D70" s="226"/>
      <c r="E70" s="8"/>
      <c r="F70" s="8"/>
      <c r="G70" s="8"/>
      <c r="H70" s="8"/>
      <c r="I70" s="8"/>
      <c r="J70" s="8"/>
      <c r="K70" s="199"/>
      <c r="L70" s="202"/>
      <c r="M70" s="199"/>
      <c r="N70"/>
      <c r="O70"/>
      <c r="P70"/>
      <c r="Q70"/>
      <c r="R70"/>
      <c r="S70"/>
      <c r="T70"/>
      <c r="U70"/>
      <c r="V70"/>
      <c r="W70"/>
      <c r="X70"/>
      <c r="Y70"/>
      <c r="Z70"/>
      <c r="AA70"/>
      <c r="AB70"/>
      <c r="AC70"/>
      <c r="AD70"/>
    </row>
    <row r="71" spans="2:30" ht="17" outlineLevel="1" thickBot="1" x14ac:dyDescent="0.25">
      <c r="B71" s="200"/>
      <c r="C71" s="860"/>
      <c r="D71" s="8"/>
      <c r="E71" s="8"/>
      <c r="F71" s="8"/>
      <c r="G71" s="8"/>
      <c r="H71" s="8"/>
      <c r="I71" s="8"/>
      <c r="J71" s="8"/>
      <c r="K71" s="199"/>
      <c r="L71" s="202"/>
      <c r="M71" s="199"/>
      <c r="N71"/>
      <c r="O71"/>
      <c r="P71"/>
      <c r="Q71"/>
      <c r="R71"/>
      <c r="S71"/>
      <c r="T71"/>
      <c r="U71"/>
      <c r="V71"/>
      <c r="W71"/>
      <c r="X71"/>
      <c r="Y71"/>
      <c r="Z71"/>
      <c r="AA71"/>
      <c r="AB71"/>
      <c r="AC71"/>
      <c r="AD71"/>
    </row>
    <row r="72" spans="2:30" ht="18" outlineLevel="1" thickBot="1" x14ac:dyDescent="0.25">
      <c r="B72" s="200"/>
      <c r="C72" s="920" t="s">
        <v>81</v>
      </c>
      <c r="D72" s="6"/>
      <c r="E72" s="6"/>
      <c r="K72" s="199"/>
      <c r="L72" s="202"/>
      <c r="M72" s="199"/>
      <c r="N72"/>
      <c r="O72"/>
      <c r="P72"/>
      <c r="Q72"/>
      <c r="R72"/>
      <c r="S72"/>
      <c r="T72"/>
      <c r="U72"/>
      <c r="V72"/>
      <c r="W72"/>
      <c r="X72"/>
      <c r="Y72"/>
      <c r="Z72"/>
      <c r="AA72"/>
      <c r="AB72"/>
      <c r="AC72"/>
      <c r="AD72"/>
    </row>
    <row r="73" spans="2:30" ht="17" outlineLevel="1" thickBot="1" x14ac:dyDescent="0.25">
      <c r="B73" s="200"/>
      <c r="C73" s="204"/>
      <c r="D73" s="909" t="s">
        <v>56</v>
      </c>
      <c r="E73" s="910" t="s">
        <v>57</v>
      </c>
      <c r="F73" s="910" t="s">
        <v>58</v>
      </c>
      <c r="G73" s="910" t="s">
        <v>59</v>
      </c>
      <c r="H73" s="910" t="s">
        <v>60</v>
      </c>
      <c r="I73" s="910" t="s">
        <v>61</v>
      </c>
      <c r="J73" s="911" t="s">
        <v>62</v>
      </c>
      <c r="K73" s="199"/>
      <c r="L73" s="202"/>
      <c r="M73" s="199"/>
      <c r="N73"/>
      <c r="O73"/>
      <c r="P73"/>
      <c r="Q73"/>
      <c r="R73"/>
      <c r="S73"/>
      <c r="T73"/>
      <c r="U73"/>
      <c r="V73"/>
      <c r="W73"/>
      <c r="X73"/>
      <c r="Y73"/>
      <c r="Z73"/>
      <c r="AA73"/>
      <c r="AB73"/>
      <c r="AC73"/>
      <c r="AD73"/>
    </row>
    <row r="74" spans="2:30" s="8" customFormat="1" ht="17" outlineLevel="1" x14ac:dyDescent="0.2">
      <c r="B74" s="897"/>
      <c r="C74" s="204" t="s">
        <v>82</v>
      </c>
      <c r="D74" s="965">
        <v>20</v>
      </c>
      <c r="E74" s="965">
        <v>20</v>
      </c>
      <c r="F74" s="965">
        <v>20</v>
      </c>
      <c r="G74" s="965">
        <v>20</v>
      </c>
      <c r="H74" s="965">
        <v>20</v>
      </c>
      <c r="I74" s="965">
        <v>20</v>
      </c>
      <c r="J74" s="965">
        <v>20</v>
      </c>
      <c r="K74" s="346"/>
      <c r="L74" s="898"/>
      <c r="M74" s="346"/>
    </row>
    <row r="75" spans="2:30" s="8" customFormat="1" ht="17" x14ac:dyDescent="0.2">
      <c r="B75" s="897"/>
      <c r="C75" s="204" t="s">
        <v>83</v>
      </c>
      <c r="D75" s="929">
        <v>2</v>
      </c>
      <c r="E75" s="929">
        <v>2</v>
      </c>
      <c r="F75" s="929">
        <v>2</v>
      </c>
      <c r="G75" s="929">
        <v>2</v>
      </c>
      <c r="H75" s="929">
        <v>2</v>
      </c>
      <c r="I75" s="929">
        <v>2</v>
      </c>
      <c r="J75" s="929">
        <v>2</v>
      </c>
      <c r="K75" s="346"/>
      <c r="L75" s="898"/>
      <c r="M75" s="346"/>
    </row>
    <row r="76" spans="2:30" s="8" customFormat="1" ht="17" x14ac:dyDescent="0.2">
      <c r="B76" s="897"/>
      <c r="C76" s="204" t="s">
        <v>84</v>
      </c>
      <c r="D76" s="929">
        <v>5</v>
      </c>
      <c r="E76" s="929">
        <v>5</v>
      </c>
      <c r="F76" s="929">
        <v>5</v>
      </c>
      <c r="G76" s="929">
        <v>5</v>
      </c>
      <c r="H76" s="929">
        <v>5</v>
      </c>
      <c r="I76" s="929">
        <v>5</v>
      </c>
      <c r="J76" s="929">
        <v>5</v>
      </c>
      <c r="K76" s="346"/>
      <c r="L76" s="898"/>
      <c r="M76" s="346"/>
    </row>
    <row r="77" spans="2:30" s="8" customFormat="1" ht="17" x14ac:dyDescent="0.2">
      <c r="B77" s="897"/>
      <c r="C77" s="204" t="s">
        <v>85</v>
      </c>
      <c r="D77" s="929">
        <v>4</v>
      </c>
      <c r="E77" s="929">
        <v>4</v>
      </c>
      <c r="F77" s="929">
        <v>4</v>
      </c>
      <c r="G77" s="929">
        <v>4</v>
      </c>
      <c r="H77" s="929">
        <v>4</v>
      </c>
      <c r="I77" s="929">
        <v>4</v>
      </c>
      <c r="J77" s="929">
        <v>4</v>
      </c>
      <c r="K77" s="346"/>
      <c r="L77" s="898"/>
      <c r="M77" s="346"/>
    </row>
    <row r="78" spans="2:30" s="8" customFormat="1" ht="17" x14ac:dyDescent="0.2">
      <c r="B78" s="897"/>
      <c r="C78" s="204" t="s">
        <v>86</v>
      </c>
      <c r="D78" s="929">
        <v>2</v>
      </c>
      <c r="E78" s="929">
        <v>2</v>
      </c>
      <c r="F78" s="929">
        <v>2</v>
      </c>
      <c r="G78" s="929">
        <v>2</v>
      </c>
      <c r="H78" s="929">
        <v>2</v>
      </c>
      <c r="I78" s="929">
        <v>2</v>
      </c>
      <c r="J78" s="929">
        <v>2</v>
      </c>
      <c r="K78" s="346"/>
      <c r="L78" s="899"/>
      <c r="M78" s="346"/>
    </row>
    <row r="79" spans="2:30" s="8" customFormat="1" ht="13" x14ac:dyDescent="0.15">
      <c r="B79" s="897"/>
      <c r="K79" s="346"/>
      <c r="L79" s="898"/>
      <c r="M79" s="346"/>
    </row>
    <row r="80" spans="2:30" s="8" customFormat="1" ht="13" x14ac:dyDescent="0.15">
      <c r="B80" s="897"/>
      <c r="K80" s="346"/>
      <c r="L80" s="898"/>
      <c r="M80" s="346"/>
    </row>
    <row r="81" spans="2:31" s="8" customFormat="1" ht="13" x14ac:dyDescent="0.15">
      <c r="B81" s="897"/>
      <c r="K81" s="346"/>
      <c r="L81" s="898"/>
      <c r="M81" s="346"/>
    </row>
    <row r="82" spans="2:31" s="8" customFormat="1" ht="13" x14ac:dyDescent="0.15">
      <c r="B82" s="897"/>
      <c r="K82" s="346"/>
      <c r="L82" s="898"/>
      <c r="M82" s="346"/>
    </row>
    <row r="83" spans="2:31" s="8" customFormat="1" ht="14" thickBot="1" x14ac:dyDescent="0.2">
      <c r="B83" s="536"/>
      <c r="C83" s="491"/>
      <c r="D83" s="491"/>
      <c r="E83" s="491"/>
      <c r="F83" s="491"/>
      <c r="G83" s="491"/>
      <c r="H83" s="491"/>
      <c r="I83" s="491"/>
      <c r="J83" s="491"/>
      <c r="K83" s="491"/>
      <c r="L83" s="900"/>
    </row>
    <row r="84" spans="2:31" ht="19" thickBot="1" x14ac:dyDescent="0.25">
      <c r="B84" s="876" t="s">
        <v>87</v>
      </c>
      <c r="C84" s="877"/>
      <c r="D84" s="884"/>
      <c r="E84" s="885"/>
      <c r="F84" s="882"/>
      <c r="G84" s="881"/>
      <c r="H84" s="881"/>
      <c r="I84" s="881"/>
      <c r="J84" s="886"/>
      <c r="K84" s="882"/>
      <c r="L84" s="883"/>
      <c r="N84"/>
      <c r="O84"/>
      <c r="P84"/>
      <c r="Q84"/>
      <c r="R84"/>
      <c r="S84"/>
      <c r="T84"/>
      <c r="U84"/>
      <c r="V84"/>
      <c r="W84"/>
      <c r="X84"/>
      <c r="Y84"/>
      <c r="Z84"/>
      <c r="AA84"/>
      <c r="AB84"/>
      <c r="AC84"/>
      <c r="AD84"/>
    </row>
    <row r="85" spans="2:31" ht="19" thickBot="1" x14ac:dyDescent="0.25">
      <c r="B85" s="1243" t="s">
        <v>88</v>
      </c>
      <c r="C85" s="1244"/>
      <c r="D85" s="1244"/>
      <c r="E85" s="1244"/>
      <c r="F85" s="1244"/>
      <c r="G85" s="1244"/>
      <c r="H85" s="1244"/>
      <c r="I85" s="1244"/>
      <c r="J85" s="1244"/>
      <c r="K85" s="1244"/>
      <c r="L85" s="1245"/>
      <c r="N85"/>
      <c r="O85"/>
      <c r="P85"/>
      <c r="Q85"/>
      <c r="R85"/>
      <c r="S85"/>
      <c r="T85"/>
      <c r="U85"/>
      <c r="V85"/>
      <c r="W85"/>
      <c r="X85"/>
      <c r="Y85"/>
      <c r="Z85"/>
      <c r="AA85"/>
      <c r="AB85"/>
      <c r="AC85"/>
      <c r="AD85"/>
    </row>
    <row r="86" spans="2:31" outlineLevel="1" x14ac:dyDescent="0.2">
      <c r="B86" s="437"/>
      <c r="C86" s="211"/>
      <c r="D86" s="211"/>
      <c r="E86" s="211"/>
      <c r="F86" s="211"/>
      <c r="G86" s="211"/>
      <c r="H86" s="211"/>
      <c r="I86" s="211"/>
      <c r="J86" s="211"/>
      <c r="K86" s="211"/>
      <c r="L86" s="198"/>
      <c r="N86"/>
      <c r="O86"/>
      <c r="P86"/>
      <c r="Q86"/>
      <c r="R86"/>
      <c r="S86"/>
      <c r="T86"/>
      <c r="U86"/>
      <c r="V86"/>
      <c r="W86"/>
      <c r="X86"/>
      <c r="Y86"/>
      <c r="Z86"/>
      <c r="AA86"/>
      <c r="AB86"/>
      <c r="AC86"/>
      <c r="AD86"/>
    </row>
    <row r="87" spans="2:31" ht="18" outlineLevel="1" x14ac:dyDescent="0.2">
      <c r="B87" s="212"/>
      <c r="C87" s="956" t="s">
        <v>89</v>
      </c>
      <c r="D87" s="199"/>
      <c r="E87" s="870" t="s">
        <v>33</v>
      </c>
      <c r="L87" s="201"/>
      <c r="N87"/>
      <c r="O87"/>
      <c r="P87"/>
      <c r="Q87"/>
      <c r="R87"/>
      <c r="S87"/>
      <c r="T87"/>
      <c r="U87"/>
      <c r="V87"/>
      <c r="W87"/>
      <c r="X87"/>
      <c r="Y87"/>
      <c r="Z87"/>
      <c r="AA87"/>
      <c r="AB87"/>
      <c r="AC87"/>
      <c r="AD87"/>
    </row>
    <row r="88" spans="2:31" ht="17" outlineLevel="1" x14ac:dyDescent="0.2">
      <c r="B88" s="212"/>
      <c r="C88" s="204" t="s">
        <v>90</v>
      </c>
      <c r="D88" s="919">
        <f>Chem!C149</f>
        <v>31</v>
      </c>
      <c r="E88" s="872"/>
      <c r="L88" s="201"/>
      <c r="O88"/>
      <c r="P88"/>
      <c r="Q88"/>
      <c r="R88"/>
      <c r="S88"/>
      <c r="T88"/>
      <c r="U88"/>
      <c r="V88"/>
      <c r="W88"/>
      <c r="X88"/>
      <c r="Y88"/>
      <c r="Z88"/>
      <c r="AA88"/>
      <c r="AB88"/>
      <c r="AC88"/>
      <c r="AD88"/>
      <c r="AE88"/>
    </row>
    <row r="89" spans="2:31" ht="17" outlineLevel="1" x14ac:dyDescent="0.2">
      <c r="B89" s="212"/>
      <c r="C89" s="204" t="s">
        <v>91</v>
      </c>
      <c r="D89" s="919">
        <f>Chem!C150</f>
        <v>7</v>
      </c>
      <c r="E89" s="872"/>
      <c r="L89" s="201"/>
      <c r="N89"/>
      <c r="O89"/>
      <c r="P89"/>
      <c r="Q89"/>
      <c r="R89"/>
      <c r="S89"/>
      <c r="T89"/>
      <c r="U89"/>
      <c r="V89"/>
      <c r="W89"/>
      <c r="X89"/>
      <c r="Y89"/>
      <c r="Z89"/>
      <c r="AA89"/>
      <c r="AB89"/>
      <c r="AC89"/>
      <c r="AD89"/>
    </row>
    <row r="90" spans="2:31" ht="17" outlineLevel="1" x14ac:dyDescent="0.2">
      <c r="B90" s="212"/>
      <c r="C90" s="204" t="s">
        <v>92</v>
      </c>
      <c r="D90" s="919">
        <f>Chem!C151</f>
        <v>15</v>
      </c>
      <c r="E90" s="872"/>
      <c r="L90" s="201"/>
      <c r="N90"/>
      <c r="O90"/>
      <c r="P90"/>
      <c r="Q90"/>
      <c r="R90"/>
      <c r="S90"/>
      <c r="T90"/>
      <c r="U90"/>
      <c r="V90"/>
      <c r="W90"/>
      <c r="X90"/>
      <c r="Y90"/>
      <c r="Z90"/>
      <c r="AA90"/>
      <c r="AB90"/>
      <c r="AC90"/>
      <c r="AD90"/>
    </row>
    <row r="91" spans="2:31" ht="17" outlineLevel="1" x14ac:dyDescent="0.2">
      <c r="B91" s="212"/>
      <c r="C91" s="204" t="str">
        <f>"Solvent (" &amp; Chem!C14 &amp; "), $/kg"</f>
        <v>Solvent (NMP), $/kg</v>
      </c>
      <c r="D91" s="919">
        <f>Chem!C152</f>
        <v>2.7</v>
      </c>
      <c r="E91" s="872"/>
      <c r="L91" s="201"/>
      <c r="N91"/>
      <c r="O91"/>
      <c r="P91"/>
      <c r="Q91"/>
      <c r="R91"/>
      <c r="S91"/>
      <c r="T91"/>
      <c r="U91"/>
      <c r="V91"/>
      <c r="W91"/>
      <c r="X91"/>
      <c r="Y91"/>
      <c r="Z91"/>
      <c r="AA91"/>
      <c r="AB91"/>
      <c r="AC91"/>
      <c r="AD91"/>
    </row>
    <row r="92" spans="2:31" outlineLevel="1" x14ac:dyDescent="0.2">
      <c r="B92" s="212"/>
      <c r="C92" s="6"/>
      <c r="D92" s="6"/>
      <c r="E92" s="6"/>
      <c r="L92" s="201"/>
      <c r="N92"/>
      <c r="O92"/>
      <c r="P92"/>
      <c r="Q92"/>
      <c r="R92"/>
      <c r="S92"/>
      <c r="T92"/>
      <c r="U92"/>
      <c r="V92"/>
      <c r="W92"/>
      <c r="X92"/>
      <c r="Y92"/>
      <c r="Z92"/>
      <c r="AA92"/>
      <c r="AB92"/>
      <c r="AC92"/>
      <c r="AD92"/>
    </row>
    <row r="93" spans="2:31" ht="18" outlineLevel="1" x14ac:dyDescent="0.2">
      <c r="B93" s="212"/>
      <c r="C93" s="956" t="s">
        <v>93</v>
      </c>
      <c r="D93" s="199"/>
      <c r="E93" s="870" t="s">
        <v>33</v>
      </c>
      <c r="L93" s="201"/>
      <c r="N93"/>
      <c r="O93"/>
      <c r="P93"/>
      <c r="Q93"/>
      <c r="R93"/>
      <c r="S93"/>
      <c r="T93"/>
      <c r="U93"/>
      <c r="V93"/>
      <c r="W93"/>
      <c r="X93"/>
      <c r="Y93"/>
      <c r="Z93"/>
      <c r="AA93"/>
      <c r="AB93"/>
      <c r="AC93"/>
      <c r="AD93"/>
    </row>
    <row r="94" spans="2:31" ht="17" outlineLevel="1" x14ac:dyDescent="0.2">
      <c r="B94" s="212"/>
      <c r="C94" s="204" t="s">
        <v>90</v>
      </c>
      <c r="D94" s="919">
        <f>Chem!C155</f>
        <v>9</v>
      </c>
      <c r="E94" s="872"/>
      <c r="L94" s="201"/>
      <c r="N94"/>
      <c r="O94"/>
      <c r="P94"/>
      <c r="Q94"/>
      <c r="R94"/>
      <c r="S94"/>
      <c r="T94"/>
      <c r="U94"/>
      <c r="V94"/>
      <c r="W94"/>
      <c r="X94"/>
      <c r="Y94"/>
      <c r="Z94"/>
      <c r="AA94"/>
      <c r="AB94"/>
      <c r="AC94"/>
      <c r="AD94"/>
    </row>
    <row r="95" spans="2:31" ht="17" outlineLevel="1" x14ac:dyDescent="0.2">
      <c r="B95" s="212"/>
      <c r="C95" s="204" t="s">
        <v>91</v>
      </c>
      <c r="D95" s="919">
        <f>Chem!C156</f>
        <v>7</v>
      </c>
      <c r="E95" s="872"/>
      <c r="L95" s="201"/>
      <c r="N95"/>
      <c r="O95"/>
      <c r="P95"/>
      <c r="Q95"/>
      <c r="R95"/>
      <c r="S95"/>
      <c r="T95"/>
      <c r="U95"/>
      <c r="V95"/>
      <c r="W95"/>
      <c r="X95"/>
      <c r="Y95"/>
      <c r="Z95"/>
      <c r="AA95"/>
      <c r="AB95"/>
      <c r="AC95"/>
      <c r="AD95"/>
    </row>
    <row r="96" spans="2:31" ht="17" outlineLevel="1" x14ac:dyDescent="0.2">
      <c r="B96" s="212"/>
      <c r="C96" s="204" t="s">
        <v>92</v>
      </c>
      <c r="D96" s="919">
        <f>Chem!C157</f>
        <v>10</v>
      </c>
      <c r="E96" s="872"/>
      <c r="L96" s="201"/>
      <c r="N96"/>
      <c r="O96"/>
      <c r="P96"/>
      <c r="Q96"/>
      <c r="R96"/>
      <c r="S96"/>
      <c r="T96"/>
      <c r="U96"/>
      <c r="V96"/>
      <c r="W96"/>
      <c r="X96"/>
      <c r="Y96"/>
      <c r="Z96"/>
      <c r="AA96"/>
      <c r="AB96"/>
      <c r="AC96"/>
      <c r="AD96"/>
    </row>
    <row r="97" spans="2:30" ht="17" outlineLevel="1" x14ac:dyDescent="0.2">
      <c r="B97" s="212"/>
      <c r="C97" s="204" t="str">
        <f>"Solvent (" &amp; Chem!$C$44 &amp; "), $/kg"</f>
        <v>Solvent (Water), $/kg</v>
      </c>
      <c r="D97" s="919">
        <f>Chem!C158</f>
        <v>0</v>
      </c>
      <c r="E97" s="872"/>
      <c r="L97" s="201"/>
      <c r="N97"/>
      <c r="O97"/>
      <c r="P97"/>
      <c r="Q97"/>
      <c r="R97"/>
      <c r="S97"/>
      <c r="T97"/>
      <c r="U97"/>
      <c r="V97"/>
      <c r="W97"/>
      <c r="X97"/>
      <c r="Y97"/>
      <c r="Z97"/>
      <c r="AA97"/>
      <c r="AB97"/>
      <c r="AC97"/>
      <c r="AD97"/>
    </row>
    <row r="98" spans="2:30" outlineLevel="1" x14ac:dyDescent="0.2">
      <c r="B98" s="212"/>
      <c r="C98" s="6"/>
      <c r="D98" s="6"/>
      <c r="E98" s="6"/>
      <c r="L98" s="201"/>
      <c r="N98"/>
      <c r="O98"/>
      <c r="P98"/>
      <c r="Q98"/>
      <c r="R98"/>
      <c r="S98"/>
      <c r="T98"/>
      <c r="U98"/>
      <c r="V98"/>
      <c r="W98"/>
      <c r="X98"/>
      <c r="Y98"/>
      <c r="Z98"/>
      <c r="AA98"/>
      <c r="AB98"/>
      <c r="AC98"/>
      <c r="AD98"/>
    </row>
    <row r="99" spans="2:30" ht="17" outlineLevel="1" x14ac:dyDescent="0.2">
      <c r="B99" s="212"/>
      <c r="C99" s="204" t="str">
        <f>LEFT(Chem!C31,2)&amp;" foil, $/m²"</f>
        <v>Al foil, $/m²</v>
      </c>
      <c r="D99" s="919">
        <f>Chem!C161</f>
        <v>0.2</v>
      </c>
      <c r="E99" s="872"/>
      <c r="L99" s="201"/>
      <c r="N99"/>
      <c r="O99"/>
      <c r="P99"/>
      <c r="Q99"/>
      <c r="R99"/>
      <c r="S99"/>
      <c r="T99"/>
      <c r="U99"/>
      <c r="V99"/>
      <c r="W99"/>
      <c r="X99"/>
      <c r="Y99"/>
      <c r="Z99"/>
      <c r="AA99"/>
      <c r="AB99"/>
      <c r="AC99"/>
      <c r="AD99"/>
    </row>
    <row r="100" spans="2:30" ht="17" outlineLevel="1" x14ac:dyDescent="0.2">
      <c r="B100" s="212"/>
      <c r="C100" s="204" t="str">
        <f>IF(Chem!C59 = "Copper", "Cu", "Al") &amp;" foil, $/m²"</f>
        <v>Cu foil, $/m²</v>
      </c>
      <c r="D100" s="919">
        <f>Chem!C162</f>
        <v>1.2</v>
      </c>
      <c r="E100" s="872"/>
      <c r="L100" s="201"/>
      <c r="N100"/>
      <c r="O100"/>
      <c r="P100"/>
      <c r="Q100"/>
      <c r="R100"/>
      <c r="S100"/>
      <c r="T100"/>
      <c r="U100"/>
      <c r="V100"/>
      <c r="W100"/>
      <c r="X100"/>
      <c r="Y100"/>
      <c r="Z100"/>
      <c r="AA100"/>
      <c r="AB100"/>
      <c r="AC100"/>
      <c r="AD100"/>
    </row>
    <row r="101" spans="2:30" ht="17" outlineLevel="1" x14ac:dyDescent="0.2">
      <c r="B101" s="212"/>
      <c r="C101" s="204" t="s">
        <v>94</v>
      </c>
      <c r="D101" s="919">
        <f>Chem!C163</f>
        <v>0.9</v>
      </c>
      <c r="E101" s="872"/>
      <c r="L101" s="201"/>
      <c r="N101"/>
      <c r="O101"/>
      <c r="P101"/>
      <c r="Q101"/>
      <c r="R101"/>
      <c r="S101"/>
      <c r="T101"/>
      <c r="U101"/>
      <c r="V101"/>
      <c r="W101"/>
      <c r="X101"/>
      <c r="Y101"/>
      <c r="Z101"/>
      <c r="AA101"/>
      <c r="AB101"/>
      <c r="AC101"/>
      <c r="AD101"/>
    </row>
    <row r="102" spans="2:30" ht="17" outlineLevel="1" x14ac:dyDescent="0.2">
      <c r="B102" s="212"/>
      <c r="C102" s="204" t="s">
        <v>95</v>
      </c>
      <c r="D102" s="919">
        <f>Chem!C164</f>
        <v>9</v>
      </c>
      <c r="E102" s="872"/>
      <c r="L102" s="201"/>
      <c r="N102"/>
      <c r="O102"/>
      <c r="P102"/>
      <c r="Q102"/>
      <c r="R102"/>
      <c r="S102"/>
      <c r="T102"/>
      <c r="U102"/>
      <c r="V102"/>
      <c r="W102"/>
      <c r="X102"/>
      <c r="Y102"/>
      <c r="Z102"/>
      <c r="AA102"/>
      <c r="AB102"/>
      <c r="AC102"/>
      <c r="AD102"/>
    </row>
    <row r="103" spans="2:30" ht="17" outlineLevel="1" thickBot="1" x14ac:dyDescent="0.25">
      <c r="B103" s="206"/>
      <c r="C103" s="203"/>
      <c r="D103" s="203"/>
      <c r="E103" s="203"/>
      <c r="F103" s="203"/>
      <c r="G103" s="203"/>
      <c r="H103" s="203"/>
      <c r="I103" s="203"/>
      <c r="J103" s="203"/>
      <c r="K103" s="203"/>
      <c r="L103" s="207"/>
      <c r="N103"/>
      <c r="O103"/>
      <c r="P103"/>
      <c r="Q103"/>
      <c r="R103"/>
      <c r="S103"/>
      <c r="T103"/>
      <c r="U103"/>
      <c r="V103"/>
      <c r="W103"/>
      <c r="X103"/>
      <c r="Y103"/>
      <c r="Z103"/>
      <c r="AA103"/>
      <c r="AB103"/>
      <c r="AC103"/>
      <c r="AD103"/>
    </row>
    <row r="104" spans="2:30" ht="19" outlineLevel="1" thickBot="1" x14ac:dyDescent="0.25">
      <c r="B104" s="1249" t="s">
        <v>96</v>
      </c>
      <c r="C104" s="1250"/>
      <c r="D104" s="1250"/>
      <c r="E104" s="1250"/>
      <c r="F104" s="1250"/>
      <c r="G104" s="1250"/>
      <c r="H104" s="1250"/>
      <c r="I104" s="1250"/>
      <c r="J104" s="1250"/>
      <c r="K104" s="1250"/>
      <c r="L104" s="1251"/>
      <c r="N104"/>
      <c r="O104"/>
      <c r="P104"/>
      <c r="Q104"/>
      <c r="R104"/>
      <c r="S104"/>
      <c r="T104"/>
      <c r="U104"/>
      <c r="V104"/>
      <c r="W104"/>
      <c r="X104"/>
      <c r="Y104"/>
      <c r="Z104"/>
      <c r="AA104"/>
      <c r="AB104"/>
      <c r="AC104"/>
      <c r="AD104"/>
    </row>
    <row r="105" spans="2:30" ht="19" outlineLevel="1" thickBot="1" x14ac:dyDescent="0.25">
      <c r="B105" s="1211"/>
      <c r="C105" s="1212"/>
      <c r="D105" s="1212"/>
      <c r="E105" s="1212"/>
      <c r="F105" s="1212"/>
      <c r="G105" s="1212"/>
      <c r="H105" s="1212"/>
      <c r="I105" s="1212"/>
      <c r="J105" s="1212"/>
      <c r="K105" s="1212"/>
      <c r="L105" s="1213"/>
      <c r="N105"/>
      <c r="O105"/>
      <c r="P105"/>
      <c r="Q105"/>
      <c r="R105"/>
      <c r="S105"/>
      <c r="T105"/>
      <c r="U105"/>
      <c r="V105"/>
      <c r="W105"/>
      <c r="X105"/>
      <c r="Y105"/>
      <c r="Z105"/>
      <c r="AA105"/>
      <c r="AB105"/>
      <c r="AC105"/>
      <c r="AD105"/>
    </row>
    <row r="106" spans="2:30" ht="19" outlineLevel="1" thickBot="1" x14ac:dyDescent="0.25">
      <c r="B106" s="861"/>
      <c r="C106" s="204" t="s">
        <v>97</v>
      </c>
      <c r="D106" s="1246" t="s">
        <v>98</v>
      </c>
      <c r="E106" s="1247"/>
      <c r="F106" s="1247"/>
      <c r="G106" s="1247"/>
      <c r="H106" s="1247"/>
      <c r="I106" s="1247"/>
      <c r="J106" s="1248"/>
      <c r="K106" s="1160"/>
      <c r="L106" s="862"/>
      <c r="N106"/>
      <c r="O106"/>
      <c r="P106"/>
      <c r="Q106"/>
      <c r="R106"/>
      <c r="S106"/>
      <c r="T106"/>
      <c r="U106"/>
      <c r="V106"/>
      <c r="W106"/>
      <c r="X106"/>
      <c r="Y106"/>
      <c r="Z106"/>
      <c r="AA106"/>
      <c r="AB106"/>
      <c r="AC106"/>
      <c r="AD106"/>
    </row>
    <row r="107" spans="2:30" ht="18" outlineLevel="1" x14ac:dyDescent="0.2">
      <c r="B107" s="861"/>
      <c r="C107" s="1204" t="str">
        <f>IF(AND(_manufact_method&gt;1, _utilization_type&gt;1), "              Combination of manufacturing method and utilization method not allowed, one of the two must be set to the default", "")</f>
        <v/>
      </c>
      <c r="D107" s="1160"/>
      <c r="E107" s="1160"/>
      <c r="F107" s="1160"/>
      <c r="G107" s="1160"/>
      <c r="H107" s="1160"/>
      <c r="I107" s="1160"/>
      <c r="J107" s="1160"/>
      <c r="K107" s="1160"/>
      <c r="L107" s="862"/>
      <c r="N107"/>
      <c r="O107"/>
      <c r="P107"/>
      <c r="Q107"/>
      <c r="R107"/>
      <c r="S107"/>
      <c r="T107"/>
      <c r="U107"/>
      <c r="V107"/>
      <c r="W107"/>
      <c r="X107"/>
      <c r="Y107"/>
      <c r="Z107"/>
      <c r="AA107"/>
      <c r="AB107"/>
      <c r="AC107"/>
      <c r="AD107"/>
    </row>
    <row r="108" spans="2:30" ht="19" outlineLevel="1" thickBot="1" x14ac:dyDescent="0.25">
      <c r="B108" s="861"/>
      <c r="C108" s="1160"/>
      <c r="D108" s="1160"/>
      <c r="E108" s="1160"/>
      <c r="F108" s="1160"/>
      <c r="G108" s="1160"/>
      <c r="H108" s="1160"/>
      <c r="I108" s="1160"/>
      <c r="J108" s="1160"/>
      <c r="K108" s="1160"/>
      <c r="L108" s="862"/>
      <c r="N108"/>
      <c r="O108"/>
      <c r="P108"/>
      <c r="Q108"/>
      <c r="R108"/>
      <c r="S108"/>
      <c r="T108"/>
      <c r="U108"/>
      <c r="V108"/>
      <c r="W108"/>
      <c r="X108"/>
      <c r="Y108"/>
      <c r="Z108"/>
      <c r="AA108"/>
      <c r="AB108"/>
      <c r="AC108"/>
      <c r="AD108"/>
    </row>
    <row r="109" spans="2:30" ht="19" outlineLevel="1" thickBot="1" x14ac:dyDescent="0.25">
      <c r="B109" s="861"/>
      <c r="D109" s="909" t="s">
        <v>56</v>
      </c>
      <c r="E109" s="910" t="s">
        <v>57</v>
      </c>
      <c r="F109" s="910" t="s">
        <v>58</v>
      </c>
      <c r="G109" s="910" t="s">
        <v>59</v>
      </c>
      <c r="H109" s="910" t="s">
        <v>60</v>
      </c>
      <c r="I109" s="910" t="s">
        <v>61</v>
      </c>
      <c r="J109" s="911" t="s">
        <v>62</v>
      </c>
      <c r="K109" s="1160"/>
      <c r="L109" s="862"/>
      <c r="N109"/>
      <c r="O109"/>
      <c r="P109"/>
      <c r="Q109"/>
      <c r="R109"/>
      <c r="S109"/>
      <c r="T109"/>
      <c r="U109"/>
      <c r="V109"/>
      <c r="W109"/>
      <c r="X109"/>
      <c r="Y109"/>
      <c r="Z109"/>
      <c r="AA109"/>
      <c r="AB109"/>
      <c r="AC109"/>
      <c r="AD109"/>
    </row>
    <row r="110" spans="2:30" ht="18" outlineLevel="1" x14ac:dyDescent="0.2">
      <c r="B110" s="861"/>
      <c r="C110" s="204" t="s">
        <v>99</v>
      </c>
      <c r="D110" s="964">
        <v>500000</v>
      </c>
      <c r="E110" s="964">
        <v>500000</v>
      </c>
      <c r="F110" s="964">
        <v>500000</v>
      </c>
      <c r="G110" s="964">
        <v>500000</v>
      </c>
      <c r="H110" s="964">
        <v>500000</v>
      </c>
      <c r="I110" s="964">
        <v>500000</v>
      </c>
      <c r="J110" s="964">
        <v>500000</v>
      </c>
      <c r="K110" s="1160"/>
      <c r="L110" s="862"/>
      <c r="N110"/>
      <c r="O110"/>
      <c r="P110"/>
      <c r="Q110"/>
      <c r="R110"/>
      <c r="S110"/>
      <c r="T110"/>
      <c r="U110"/>
      <c r="V110"/>
      <c r="W110"/>
      <c r="X110"/>
      <c r="Y110"/>
      <c r="Z110"/>
      <c r="AA110"/>
      <c r="AB110"/>
      <c r="AC110"/>
      <c r="AD110"/>
    </row>
    <row r="111" spans="2:30" ht="18" outlineLevel="1" x14ac:dyDescent="0.2">
      <c r="B111" s="861"/>
      <c r="C111" s="1161" t="str">
        <f>IF(_manufact_method=1,"       When method other than Method 1 is selected, another option below become available","      In addition, fill in values below")</f>
        <v xml:space="preserve">       When method other than Method 1 is selected, another option below become available</v>
      </c>
      <c r="F111" s="27"/>
      <c r="G111" s="27"/>
      <c r="H111" s="27"/>
      <c r="I111" s="27"/>
      <c r="J111" s="27"/>
      <c r="K111" s="1160"/>
      <c r="L111" s="862"/>
      <c r="N111"/>
      <c r="O111"/>
      <c r="P111"/>
      <c r="Q111"/>
      <c r="R111"/>
      <c r="S111"/>
      <c r="T111"/>
      <c r="U111"/>
      <c r="V111"/>
      <c r="W111"/>
      <c r="X111"/>
      <c r="Y111"/>
      <c r="Z111"/>
      <c r="AA111"/>
      <c r="AB111"/>
      <c r="AC111"/>
      <c r="AD111"/>
    </row>
    <row r="112" spans="2:30" outlineLevel="1" x14ac:dyDescent="0.2">
      <c r="B112" s="212"/>
      <c r="C112" s="6" t="s">
        <v>100</v>
      </c>
      <c r="D112" s="917">
        <v>50</v>
      </c>
      <c r="E112" s="917">
        <v>50</v>
      </c>
      <c r="F112" s="917">
        <v>50</v>
      </c>
      <c r="G112" s="917">
        <v>50</v>
      </c>
      <c r="H112" s="917">
        <v>50</v>
      </c>
      <c r="I112" s="917">
        <v>50</v>
      </c>
      <c r="J112" s="917">
        <v>50</v>
      </c>
      <c r="L112" s="201"/>
      <c r="N112"/>
      <c r="O112"/>
      <c r="P112"/>
      <c r="Q112"/>
      <c r="R112"/>
      <c r="S112"/>
      <c r="T112"/>
      <c r="U112"/>
      <c r="V112"/>
      <c r="W112"/>
      <c r="X112"/>
      <c r="Y112"/>
      <c r="Z112"/>
      <c r="AA112"/>
      <c r="AB112"/>
      <c r="AC112"/>
      <c r="AD112"/>
    </row>
    <row r="113" spans="2:30" outlineLevel="1" x14ac:dyDescent="0.2">
      <c r="B113" s="212"/>
      <c r="C113" s="6"/>
      <c r="D113" s="6"/>
      <c r="E113" s="6"/>
      <c r="L113" s="201"/>
      <c r="N113"/>
      <c r="O113"/>
      <c r="P113"/>
      <c r="Q113"/>
      <c r="R113"/>
      <c r="S113"/>
      <c r="T113"/>
      <c r="U113"/>
      <c r="V113"/>
      <c r="W113"/>
      <c r="X113"/>
      <c r="Y113"/>
      <c r="Z113"/>
      <c r="AA113"/>
      <c r="AB113"/>
      <c r="AC113"/>
      <c r="AD113"/>
    </row>
    <row r="114" spans="2:30" outlineLevel="1" x14ac:dyDescent="0.2">
      <c r="B114" s="212"/>
      <c r="C114" s="6"/>
      <c r="D114" s="6"/>
      <c r="E114" s="6"/>
      <c r="L114" s="201"/>
      <c r="N114"/>
      <c r="O114"/>
      <c r="P114"/>
      <c r="Q114"/>
      <c r="R114"/>
      <c r="S114"/>
      <c r="T114"/>
      <c r="U114"/>
      <c r="V114"/>
      <c r="W114"/>
      <c r="X114"/>
      <c r="Y114"/>
      <c r="Z114"/>
      <c r="AA114"/>
      <c r="AB114"/>
      <c r="AC114"/>
      <c r="AD114"/>
    </row>
    <row r="115" spans="2:30" outlineLevel="1" x14ac:dyDescent="0.2">
      <c r="B115" s="212"/>
      <c r="C115" s="6" t="s">
        <v>101</v>
      </c>
      <c r="D115" s="1254">
        <v>95</v>
      </c>
      <c r="E115" s="1254"/>
      <c r="F115" s="1254"/>
      <c r="G115" s="1254"/>
      <c r="H115" s="1254"/>
      <c r="I115" s="1254"/>
      <c r="J115" s="1254"/>
      <c r="L115" s="201"/>
      <c r="N115"/>
      <c r="O115"/>
      <c r="P115"/>
      <c r="Q115"/>
      <c r="R115"/>
      <c r="S115"/>
      <c r="T115"/>
      <c r="U115"/>
      <c r="V115"/>
      <c r="W115"/>
      <c r="X115"/>
      <c r="Y115"/>
      <c r="Z115"/>
      <c r="AA115"/>
      <c r="AB115"/>
      <c r="AC115"/>
      <c r="AD115"/>
    </row>
    <row r="116" spans="2:30" ht="17" outlineLevel="1" thickBot="1" x14ac:dyDescent="0.25">
      <c r="B116" s="212"/>
      <c r="C116" s="204"/>
      <c r="D116" s="6"/>
      <c r="E116" s="6"/>
      <c r="L116" s="201"/>
      <c r="N116" s="462"/>
      <c r="O116"/>
      <c r="P116"/>
      <c r="Q116"/>
      <c r="R116"/>
      <c r="S116"/>
      <c r="T116"/>
      <c r="U116"/>
      <c r="V116"/>
      <c r="W116"/>
      <c r="X116"/>
      <c r="Y116"/>
      <c r="Z116"/>
      <c r="AA116"/>
      <c r="AB116"/>
      <c r="AC116"/>
      <c r="AD116"/>
    </row>
    <row r="117" spans="2:30" ht="15.75" customHeight="1" outlineLevel="1" thickBot="1" x14ac:dyDescent="0.25">
      <c r="B117" s="212"/>
      <c r="C117" s="204" t="s">
        <v>102</v>
      </c>
      <c r="D117" s="1246" t="s">
        <v>103</v>
      </c>
      <c r="E117" s="1247"/>
      <c r="F117" s="1247"/>
      <c r="G117" s="1247"/>
      <c r="H117" s="1247"/>
      <c r="I117" s="1247"/>
      <c r="J117" s="1248"/>
      <c r="L117" s="201"/>
      <c r="N117"/>
      <c r="O117"/>
      <c r="P117"/>
      <c r="Q117"/>
      <c r="R117"/>
      <c r="S117"/>
      <c r="T117"/>
      <c r="U117"/>
      <c r="V117"/>
      <c r="W117"/>
      <c r="X117"/>
      <c r="Y117"/>
      <c r="Z117"/>
      <c r="AA117"/>
      <c r="AB117"/>
      <c r="AC117"/>
      <c r="AD117"/>
    </row>
    <row r="118" spans="2:30" outlineLevel="1" x14ac:dyDescent="0.2">
      <c r="B118" s="212"/>
      <c r="C118" s="1161" t="str">
        <f>IF(_utilization_type=1,"       When method other than Method 1 is selected, other options below become available","      In addition, fill in values for one of the two below")</f>
        <v xml:space="preserve">       When method other than Method 1 is selected, other options below become available</v>
      </c>
      <c r="D118" s="351"/>
      <c r="E118" s="351"/>
      <c r="F118" s="351"/>
      <c r="G118" s="351"/>
      <c r="H118" s="351"/>
      <c r="I118" s="351"/>
      <c r="J118" s="351"/>
      <c r="L118" s="201"/>
      <c r="N118"/>
      <c r="O118"/>
      <c r="P118"/>
      <c r="Q118"/>
      <c r="R118"/>
      <c r="S118"/>
      <c r="T118"/>
      <c r="U118"/>
      <c r="V118"/>
      <c r="W118"/>
      <c r="X118"/>
      <c r="Y118"/>
      <c r="Z118"/>
      <c r="AA118"/>
      <c r="AB118"/>
      <c r="AC118"/>
      <c r="AD118"/>
    </row>
    <row r="119" spans="2:30" outlineLevel="1" x14ac:dyDescent="0.2">
      <c r="B119" s="212"/>
      <c r="C119" s="6" t="s">
        <v>104</v>
      </c>
      <c r="D119" s="917">
        <v>100000</v>
      </c>
      <c r="E119" s="917">
        <v>100000</v>
      </c>
      <c r="F119" s="917">
        <v>100000</v>
      </c>
      <c r="G119" s="917">
        <v>100000</v>
      </c>
      <c r="H119" s="917">
        <v>100000</v>
      </c>
      <c r="I119" s="917">
        <v>100000</v>
      </c>
      <c r="J119" s="917">
        <v>100000</v>
      </c>
      <c r="K119" s="856"/>
      <c r="L119" s="201"/>
      <c r="N119"/>
      <c r="O119"/>
      <c r="P119"/>
      <c r="Q119"/>
      <c r="R119"/>
      <c r="S119"/>
      <c r="T119"/>
      <c r="U119"/>
      <c r="V119"/>
      <c r="W119"/>
      <c r="X119"/>
      <c r="Y119"/>
      <c r="Z119"/>
      <c r="AA119"/>
      <c r="AB119"/>
      <c r="AC119"/>
      <c r="AD119"/>
    </row>
    <row r="120" spans="2:30" outlineLevel="1" x14ac:dyDescent="0.2">
      <c r="B120" s="212"/>
      <c r="C120" s="6" t="s">
        <v>105</v>
      </c>
      <c r="D120" s="918"/>
      <c r="E120" s="918"/>
      <c r="F120" s="918"/>
      <c r="G120" s="918"/>
      <c r="H120" s="918"/>
      <c r="I120" s="918"/>
      <c r="J120" s="918"/>
      <c r="L120" s="201"/>
      <c r="N120"/>
      <c r="O120"/>
      <c r="P120"/>
      <c r="Q120"/>
      <c r="R120"/>
      <c r="S120"/>
      <c r="T120"/>
      <c r="U120"/>
      <c r="V120"/>
      <c r="W120"/>
      <c r="X120"/>
      <c r="Y120"/>
      <c r="Z120"/>
      <c r="AA120"/>
      <c r="AB120"/>
      <c r="AC120"/>
      <c r="AD120"/>
    </row>
    <row r="121" spans="2:30" outlineLevel="1" x14ac:dyDescent="0.2">
      <c r="B121" s="212"/>
      <c r="L121" s="201"/>
      <c r="N121"/>
      <c r="O121"/>
      <c r="P121"/>
      <c r="Q121"/>
      <c r="R121"/>
      <c r="S121"/>
      <c r="T121"/>
      <c r="U121"/>
      <c r="V121"/>
      <c r="W121"/>
      <c r="X121"/>
      <c r="Y121"/>
      <c r="Z121"/>
      <c r="AA121"/>
      <c r="AB121"/>
      <c r="AC121"/>
      <c r="AD121"/>
    </row>
    <row r="122" spans="2:30" ht="17" outlineLevel="1" thickBot="1" x14ac:dyDescent="0.25">
      <c r="B122" s="212"/>
      <c r="L122" s="201"/>
      <c r="N122"/>
      <c r="O122"/>
      <c r="P122"/>
      <c r="Q122"/>
      <c r="R122"/>
      <c r="S122"/>
      <c r="T122"/>
      <c r="U122"/>
      <c r="V122"/>
      <c r="W122"/>
      <c r="X122"/>
      <c r="Y122"/>
      <c r="Z122"/>
      <c r="AA122"/>
      <c r="AB122"/>
      <c r="AC122"/>
      <c r="AD122"/>
    </row>
    <row r="123" spans="2:30" ht="18" thickBot="1" x14ac:dyDescent="0.25">
      <c r="B123" s="212"/>
      <c r="C123" s="204" t="s">
        <v>106</v>
      </c>
      <c r="D123" s="1246" t="s">
        <v>107</v>
      </c>
      <c r="E123" s="1247"/>
      <c r="F123" s="1247"/>
      <c r="G123" s="1247"/>
      <c r="H123" s="1247"/>
      <c r="I123" s="1247"/>
      <c r="J123" s="1248"/>
      <c r="L123" s="201"/>
      <c r="N123"/>
      <c r="O123"/>
      <c r="P123"/>
      <c r="Q123"/>
      <c r="R123"/>
      <c r="S123"/>
      <c r="T123"/>
      <c r="U123"/>
      <c r="V123"/>
      <c r="W123"/>
      <c r="X123"/>
      <c r="Y123"/>
      <c r="Z123"/>
      <c r="AA123"/>
      <c r="AB123"/>
      <c r="AC123"/>
      <c r="AD123"/>
    </row>
    <row r="124" spans="2:30" x14ac:dyDescent="0.2">
      <c r="B124" s="228"/>
      <c r="C124"/>
      <c r="D124"/>
      <c r="E124"/>
      <c r="F124"/>
      <c r="G124"/>
      <c r="H124"/>
      <c r="I124"/>
      <c r="J124"/>
      <c r="K124"/>
      <c r="L124" s="229"/>
      <c r="N124"/>
      <c r="O124"/>
      <c r="P124"/>
      <c r="Q124"/>
      <c r="R124"/>
      <c r="S124"/>
      <c r="T124"/>
      <c r="U124"/>
      <c r="V124"/>
      <c r="W124"/>
      <c r="X124"/>
      <c r="Y124"/>
      <c r="Z124"/>
      <c r="AA124"/>
      <c r="AB124"/>
      <c r="AC124"/>
      <c r="AD124"/>
    </row>
    <row r="125" spans="2:30" ht="22.5" customHeight="1" x14ac:dyDescent="0.2">
      <c r="B125" s="228"/>
      <c r="C125"/>
      <c r="D125"/>
      <c r="E125"/>
      <c r="F125"/>
      <c r="G125"/>
      <c r="H125"/>
      <c r="I125"/>
      <c r="J125"/>
      <c r="K125"/>
      <c r="L125" s="229"/>
      <c r="N125"/>
      <c r="O125"/>
      <c r="P125"/>
      <c r="Q125"/>
      <c r="R125"/>
      <c r="S125"/>
      <c r="T125"/>
      <c r="U125"/>
      <c r="V125"/>
      <c r="W125"/>
      <c r="X125"/>
      <c r="Y125"/>
      <c r="Z125"/>
      <c r="AA125"/>
      <c r="AB125"/>
      <c r="AC125"/>
      <c r="AD125"/>
    </row>
    <row r="126" spans="2:30" ht="17" thickBot="1" x14ac:dyDescent="0.25">
      <c r="B126" s="241"/>
      <c r="C126" s="40"/>
      <c r="D126" s="40"/>
      <c r="E126" s="40"/>
      <c r="F126" s="40"/>
      <c r="G126" s="40"/>
      <c r="H126" s="40"/>
      <c r="I126" s="40"/>
      <c r="J126" s="40"/>
      <c r="K126" s="40"/>
      <c r="L126" s="242"/>
      <c r="N126"/>
      <c r="O126"/>
      <c r="P126"/>
      <c r="Q126"/>
      <c r="R126"/>
      <c r="S126"/>
      <c r="T126"/>
      <c r="U126"/>
      <c r="V126"/>
      <c r="W126"/>
      <c r="X126"/>
      <c r="Y126"/>
      <c r="Z126"/>
      <c r="AA126"/>
      <c r="AB126"/>
      <c r="AC126"/>
      <c r="AD126"/>
    </row>
    <row r="127" spans="2:30" x14ac:dyDescent="0.2">
      <c r="B127"/>
      <c r="C127"/>
      <c r="D127"/>
      <c r="E127"/>
      <c r="F127"/>
      <c r="G127"/>
      <c r="H127"/>
      <c r="I127"/>
      <c r="J127"/>
      <c r="K127"/>
      <c r="L127"/>
      <c r="N127"/>
      <c r="O127"/>
      <c r="P127"/>
      <c r="Q127"/>
      <c r="R127"/>
      <c r="S127"/>
      <c r="T127"/>
      <c r="U127"/>
      <c r="V127"/>
      <c r="W127"/>
      <c r="X127"/>
      <c r="Y127"/>
      <c r="Z127"/>
      <c r="AA127"/>
      <c r="AB127"/>
      <c r="AC127"/>
      <c r="AD127"/>
    </row>
    <row r="128" spans="2:30" x14ac:dyDescent="0.2">
      <c r="B128"/>
      <c r="C128"/>
      <c r="D128"/>
      <c r="E128"/>
      <c r="F128"/>
      <c r="G128"/>
      <c r="H128"/>
      <c r="I128"/>
      <c r="J128"/>
      <c r="K128"/>
      <c r="L128"/>
      <c r="N128"/>
      <c r="O128"/>
      <c r="P128"/>
      <c r="Q128"/>
      <c r="R128"/>
      <c r="S128"/>
      <c r="T128"/>
      <c r="U128"/>
      <c r="V128"/>
      <c r="W128"/>
      <c r="X128"/>
      <c r="Y128"/>
      <c r="Z128"/>
      <c r="AA128"/>
      <c r="AB128"/>
      <c r="AC128"/>
      <c r="AD128"/>
    </row>
    <row r="129" spans="2:34" x14ac:dyDescent="0.2">
      <c r="B129"/>
      <c r="C129"/>
      <c r="D129"/>
      <c r="E129"/>
      <c r="F129"/>
      <c r="G129"/>
      <c r="H129"/>
      <c r="I129"/>
      <c r="J129"/>
      <c r="K129"/>
      <c r="L129"/>
      <c r="N129"/>
      <c r="O129"/>
      <c r="P129"/>
      <c r="Q129"/>
      <c r="R129"/>
      <c r="S129"/>
      <c r="T129"/>
      <c r="U129"/>
      <c r="V129"/>
      <c r="W129"/>
      <c r="X129"/>
      <c r="Y129"/>
      <c r="Z129"/>
      <c r="AA129"/>
      <c r="AB129"/>
      <c r="AC129"/>
      <c r="AD129"/>
    </row>
    <row r="130" spans="2:34" x14ac:dyDescent="0.2">
      <c r="B130"/>
      <c r="C130"/>
      <c r="D130"/>
      <c r="E130"/>
      <c r="F130"/>
      <c r="G130"/>
      <c r="H130"/>
      <c r="I130"/>
      <c r="J130"/>
      <c r="K130"/>
      <c r="L130"/>
      <c r="N130"/>
      <c r="O130"/>
      <c r="P130"/>
      <c r="Q130"/>
      <c r="R130"/>
      <c r="S130"/>
      <c r="T130"/>
      <c r="U130"/>
      <c r="V130"/>
      <c r="W130"/>
      <c r="X130"/>
      <c r="Y130"/>
      <c r="Z130"/>
      <c r="AA130"/>
      <c r="AB130"/>
      <c r="AC130"/>
      <c r="AD130"/>
    </row>
    <row r="131" spans="2:34" x14ac:dyDescent="0.2">
      <c r="C131" s="6"/>
      <c r="D131" s="6"/>
      <c r="E131" s="6"/>
      <c r="N131"/>
      <c r="O131"/>
      <c r="P131"/>
      <c r="Q131"/>
      <c r="R131"/>
      <c r="S131"/>
      <c r="T131"/>
      <c r="U131"/>
      <c r="V131"/>
      <c r="W131"/>
      <c r="X131"/>
      <c r="Y131"/>
      <c r="Z131"/>
      <c r="AA131"/>
      <c r="AB131"/>
      <c r="AC131"/>
      <c r="AD131"/>
    </row>
    <row r="132" spans="2:34" ht="17" thickBot="1" x14ac:dyDescent="0.25">
      <c r="C132" s="6"/>
      <c r="D132" s="6"/>
      <c r="E132" s="6"/>
      <c r="N132"/>
      <c r="O132"/>
      <c r="P132"/>
      <c r="Q132"/>
      <c r="R132"/>
      <c r="S132"/>
      <c r="T132"/>
      <c r="U132"/>
      <c r="V132"/>
      <c r="W132"/>
      <c r="X132"/>
      <c r="Y132"/>
      <c r="Z132"/>
      <c r="AA132"/>
      <c r="AB132"/>
      <c r="AC132"/>
      <c r="AD132"/>
    </row>
    <row r="133" spans="2:34" ht="12" customHeight="1" x14ac:dyDescent="0.2">
      <c r="B133" s="1237" t="s">
        <v>108</v>
      </c>
      <c r="C133" s="1238"/>
      <c r="D133" s="1238"/>
      <c r="E133" s="1238"/>
      <c r="F133" s="1238"/>
      <c r="G133" s="1238"/>
      <c r="H133" s="1238"/>
      <c r="I133" s="1238"/>
      <c r="J133" s="1238"/>
      <c r="K133" s="1238"/>
      <c r="L133" s="1239"/>
      <c r="O133" s="8"/>
      <c r="P133" s="8"/>
      <c r="Q133" s="8"/>
      <c r="R133" s="8"/>
      <c r="S133" s="8"/>
      <c r="T133" s="8"/>
      <c r="U133" s="8"/>
      <c r="V133" s="8"/>
      <c r="W133" s="8"/>
      <c r="X133" s="8"/>
      <c r="Y133" s="8"/>
    </row>
    <row r="134" spans="2:34" ht="10.5" customHeight="1" thickBot="1" x14ac:dyDescent="0.25">
      <c r="B134" s="1240"/>
      <c r="C134" s="1241"/>
      <c r="D134" s="1241"/>
      <c r="E134" s="1241"/>
      <c r="F134" s="1241"/>
      <c r="G134" s="1241"/>
      <c r="H134" s="1241"/>
      <c r="I134" s="1241"/>
      <c r="J134" s="1241"/>
      <c r="K134" s="1241"/>
      <c r="L134" s="1242"/>
      <c r="O134" s="8"/>
      <c r="P134" s="8"/>
      <c r="Q134" s="8"/>
      <c r="R134" s="8"/>
      <c r="S134" s="8"/>
      <c r="T134" s="8"/>
      <c r="U134" s="8"/>
      <c r="V134" s="8"/>
      <c r="W134" s="8"/>
      <c r="X134" s="8"/>
      <c r="Y134" s="8"/>
    </row>
    <row r="135" spans="2:34" ht="19" thickBot="1" x14ac:dyDescent="0.25">
      <c r="B135" s="972" t="s">
        <v>109</v>
      </c>
      <c r="C135" s="973"/>
      <c r="D135" s="974"/>
      <c r="E135" s="974"/>
      <c r="F135" s="975"/>
      <c r="G135" s="975"/>
      <c r="H135" s="975"/>
      <c r="I135" s="976"/>
      <c r="J135" s="975"/>
      <c r="K135" s="975"/>
      <c r="L135" s="977"/>
      <c r="O135" s="8"/>
      <c r="P135" s="8"/>
      <c r="Q135" s="8"/>
      <c r="R135" s="8"/>
      <c r="S135" s="8"/>
      <c r="T135" s="8"/>
      <c r="U135" s="8"/>
      <c r="V135" s="8"/>
      <c r="W135" s="8"/>
      <c r="X135" s="8"/>
      <c r="Y135" s="8"/>
      <c r="AG135"/>
      <c r="AH135"/>
    </row>
    <row r="136" spans="2:34" ht="17" thickBot="1" x14ac:dyDescent="0.25">
      <c r="B136" s="212"/>
      <c r="D136" s="967" t="s">
        <v>56</v>
      </c>
      <c r="E136" s="968" t="s">
        <v>57</v>
      </c>
      <c r="F136" s="968" t="s">
        <v>58</v>
      </c>
      <c r="G136" s="968" t="s">
        <v>59</v>
      </c>
      <c r="H136" s="968" t="s">
        <v>60</v>
      </c>
      <c r="I136" s="968" t="s">
        <v>61</v>
      </c>
      <c r="J136" s="969" t="s">
        <v>62</v>
      </c>
      <c r="K136" s="8"/>
      <c r="L136" s="201"/>
      <c r="O136" s="8"/>
      <c r="P136" s="8"/>
      <c r="Q136" s="8"/>
      <c r="R136" s="8"/>
      <c r="S136" s="8"/>
      <c r="T136" s="8"/>
      <c r="U136" s="8"/>
      <c r="V136" s="8"/>
      <c r="W136" s="8"/>
      <c r="X136" s="8"/>
      <c r="Y136" s="8"/>
    </row>
    <row r="137" spans="2:34" x14ac:dyDescent="0.2">
      <c r="B137" s="212"/>
      <c r="K137" s="8"/>
      <c r="M137" s="212"/>
    </row>
    <row r="138" spans="2:34" x14ac:dyDescent="0.2">
      <c r="B138" s="212"/>
      <c r="C138" s="199"/>
      <c r="D138" s="6"/>
      <c r="E138" s="6"/>
      <c r="F138" s="204"/>
      <c r="G138" s="204"/>
      <c r="H138" s="204"/>
      <c r="I138" s="204"/>
      <c r="K138" s="8"/>
      <c r="L138" s="201"/>
      <c r="O138" s="8"/>
      <c r="P138" s="8"/>
      <c r="Q138" s="8"/>
      <c r="R138" s="8"/>
      <c r="S138" s="8"/>
      <c r="T138" s="8"/>
      <c r="U138" s="8"/>
      <c r="V138" s="8"/>
      <c r="W138" s="8"/>
      <c r="X138" s="8"/>
      <c r="Y138" s="8"/>
    </row>
    <row r="139" spans="2:34" ht="17" x14ac:dyDescent="0.2">
      <c r="B139" s="212"/>
      <c r="C139" s="865" t="s">
        <v>110</v>
      </c>
      <c r="D139" s="912" t="str">
        <f ca="1">'Battery Design'!G529</f>
        <v>None</v>
      </c>
      <c r="E139" s="912" t="str">
        <f ca="1">'Battery Design'!H529</f>
        <v>None</v>
      </c>
      <c r="F139" s="912" t="str">
        <f ca="1">'Battery Design'!I529</f>
        <v>None</v>
      </c>
      <c r="G139" s="912" t="str">
        <f ca="1">'Battery Design'!J529</f>
        <v>None</v>
      </c>
      <c r="H139" s="912" t="str">
        <f ca="1">'Battery Design'!K529</f>
        <v>None</v>
      </c>
      <c r="I139" s="912" t="str">
        <f ca="1">'Battery Design'!L529</f>
        <v>None</v>
      </c>
      <c r="J139" s="912" t="str">
        <f ca="1">'Battery Design'!M529</f>
        <v>None</v>
      </c>
      <c r="K139" s="8"/>
      <c r="L139" s="201"/>
      <c r="O139" s="8"/>
      <c r="P139" s="8"/>
      <c r="Q139" s="8"/>
      <c r="R139" s="8"/>
      <c r="S139" s="8"/>
      <c r="T139" s="8"/>
      <c r="U139" s="8"/>
      <c r="V139" s="8"/>
      <c r="W139" s="8"/>
      <c r="X139" s="8"/>
      <c r="Y139" s="8"/>
    </row>
    <row r="140" spans="2:34" ht="17" x14ac:dyDescent="0.2">
      <c r="B140" s="212"/>
      <c r="C140" s="865" t="s">
        <v>111</v>
      </c>
      <c r="D140" s="912" t="str">
        <f ca="1">'Battery Design'!G532</f>
        <v>10</v>
      </c>
      <c r="E140" s="912" t="str">
        <f ca="1">'Battery Design'!H532</f>
        <v>10</v>
      </c>
      <c r="F140" s="912" t="str">
        <f ca="1">'Battery Design'!I532</f>
        <v>10</v>
      </c>
      <c r="G140" s="912" t="str">
        <f ca="1">'Battery Design'!J532</f>
        <v>10</v>
      </c>
      <c r="H140" s="912" t="str">
        <f ca="1">'Battery Design'!K532</f>
        <v>10</v>
      </c>
      <c r="I140" s="912" t="str">
        <f ca="1">'Battery Design'!L532</f>
        <v>10</v>
      </c>
      <c r="J140" s="912" t="str">
        <f ca="1">'Battery Design'!M532</f>
        <v>10</v>
      </c>
      <c r="K140" s="8"/>
      <c r="L140" s="201"/>
      <c r="O140" s="8"/>
      <c r="P140" s="8"/>
      <c r="Q140" s="8"/>
      <c r="R140" s="8"/>
      <c r="S140" s="8"/>
      <c r="T140" s="8"/>
      <c r="U140" s="8"/>
      <c r="V140" s="8"/>
      <c r="W140" s="8"/>
      <c r="X140" s="8"/>
      <c r="Y140" s="8"/>
    </row>
    <row r="141" spans="2:34" ht="17" x14ac:dyDescent="0.2">
      <c r="B141" s="212"/>
      <c r="C141" s="913" t="s">
        <v>112</v>
      </c>
      <c r="D141" s="914">
        <f>'Battery Design'!G24*'Manufacturing Costs'!G475/1000/1000</f>
        <v>50</v>
      </c>
      <c r="E141" s="914">
        <f>'Battery Design'!H24*'Manufacturing Costs'!H475/1000/1000</f>
        <v>50</v>
      </c>
      <c r="F141" s="914">
        <f>'Battery Design'!I24*'Manufacturing Costs'!I475/1000/1000</f>
        <v>50</v>
      </c>
      <c r="G141" s="914">
        <f>'Battery Design'!J24*'Manufacturing Costs'!J475/1000/1000</f>
        <v>50</v>
      </c>
      <c r="H141" s="914">
        <f>'Battery Design'!K24*'Manufacturing Costs'!K475/1000/1000</f>
        <v>50</v>
      </c>
      <c r="I141" s="914">
        <f>'Battery Design'!L24*'Manufacturing Costs'!L475/1000/1000</f>
        <v>50</v>
      </c>
      <c r="J141" s="914">
        <f>'Battery Design'!M24*'Manufacturing Costs'!M475/1000/1000</f>
        <v>50</v>
      </c>
      <c r="K141" s="8"/>
      <c r="L141" s="201"/>
      <c r="O141" s="8"/>
      <c r="P141" s="8"/>
      <c r="Q141" s="8"/>
      <c r="R141" s="8"/>
      <c r="S141" s="8"/>
      <c r="T141" s="8"/>
      <c r="U141" s="8"/>
      <c r="V141" s="8"/>
      <c r="W141" s="8"/>
      <c r="X141" s="8"/>
      <c r="Y141" s="8"/>
    </row>
    <row r="142" spans="2:34" ht="17" x14ac:dyDescent="0.2">
      <c r="B142" s="212"/>
      <c r="C142" s="913" t="s">
        <v>113</v>
      </c>
      <c r="D142" s="914">
        <f t="shared" ref="D142:J142" si="0">IF(_manufact_method=1,D141,D112)</f>
        <v>50</v>
      </c>
      <c r="E142" s="914">
        <f t="shared" si="0"/>
        <v>50</v>
      </c>
      <c r="F142" s="914">
        <f t="shared" si="0"/>
        <v>50</v>
      </c>
      <c r="G142" s="914">
        <f t="shared" si="0"/>
        <v>50</v>
      </c>
      <c r="H142" s="914">
        <f t="shared" si="0"/>
        <v>50</v>
      </c>
      <c r="I142" s="914">
        <f t="shared" si="0"/>
        <v>50</v>
      </c>
      <c r="J142" s="914">
        <f t="shared" si="0"/>
        <v>50</v>
      </c>
      <c r="K142" s="8"/>
      <c r="L142" s="201"/>
      <c r="O142" s="8"/>
      <c r="P142" s="8"/>
      <c r="Q142" s="8"/>
      <c r="R142" s="8"/>
      <c r="S142" s="8"/>
      <c r="T142" s="8"/>
      <c r="U142" s="8"/>
      <c r="V142" s="8"/>
      <c r="W142" s="8"/>
      <c r="X142" s="8"/>
      <c r="Y142" s="8"/>
    </row>
    <row r="143" spans="2:34" ht="20" x14ac:dyDescent="0.2">
      <c r="B143" s="212"/>
      <c r="C143" s="865" t="s">
        <v>114</v>
      </c>
      <c r="D143" s="915">
        <f>'Battery Design'!G14/'Battery Design'!G24</f>
        <v>3</v>
      </c>
      <c r="E143" s="915">
        <f>'Battery Design'!H14/'Battery Design'!H24</f>
        <v>3</v>
      </c>
      <c r="F143" s="915">
        <f>'Battery Design'!I14/'Battery Design'!I24</f>
        <v>3</v>
      </c>
      <c r="G143" s="915">
        <f>'Battery Design'!J14/'Battery Design'!J24</f>
        <v>3</v>
      </c>
      <c r="H143" s="915">
        <f>'Battery Design'!K14/'Battery Design'!K24</f>
        <v>3</v>
      </c>
      <c r="I143" s="915">
        <f>'Battery Design'!L14/'Battery Design'!L24</f>
        <v>3</v>
      </c>
      <c r="J143" s="915">
        <f>'Battery Design'!M14/'Battery Design'!M24</f>
        <v>3</v>
      </c>
      <c r="K143" s="68"/>
      <c r="L143" s="230"/>
      <c r="M143" s="208"/>
      <c r="N143" s="208"/>
      <c r="O143" s="238"/>
      <c r="P143" s="8"/>
      <c r="Q143" s="8"/>
      <c r="R143" s="8"/>
      <c r="S143" s="8"/>
      <c r="T143" s="8"/>
      <c r="U143" s="8"/>
      <c r="V143" s="8"/>
      <c r="W143" s="8"/>
      <c r="X143" s="8"/>
      <c r="Y143" s="8"/>
    </row>
    <row r="144" spans="2:34" ht="17" x14ac:dyDescent="0.2">
      <c r="B144" s="212"/>
      <c r="C144" s="913" t="s">
        <v>115</v>
      </c>
      <c r="D144" s="123" t="str">
        <f ca="1">Thermal!G156</f>
        <v>Excellent</v>
      </c>
      <c r="E144" s="123" t="str">
        <f ca="1">Thermal!H156</f>
        <v>Excellent</v>
      </c>
      <c r="F144" s="123" t="str">
        <f ca="1">Thermal!I156</f>
        <v>Excellent</v>
      </c>
      <c r="G144" s="123" t="str">
        <f ca="1">Thermal!J156</f>
        <v>Excellent</v>
      </c>
      <c r="H144" s="123" t="str">
        <f ca="1">Thermal!K156</f>
        <v>Excellent</v>
      </c>
      <c r="I144" s="123" t="str">
        <f ca="1">Thermal!L156</f>
        <v>Excellent</v>
      </c>
      <c r="J144" s="123" t="str">
        <f ca="1">Thermal!M156</f>
        <v>Excellent</v>
      </c>
      <c r="K144" s="8"/>
      <c r="L144" s="201"/>
      <c r="O144" s="8"/>
      <c r="P144" s="8"/>
      <c r="Q144" s="8"/>
      <c r="R144" s="8"/>
      <c r="S144" s="8"/>
      <c r="T144" s="8"/>
      <c r="U144" s="8"/>
      <c r="V144" s="8"/>
      <c r="W144" s="8"/>
      <c r="X144" s="8"/>
      <c r="Y144" s="8"/>
    </row>
    <row r="145" spans="1:25" ht="29.75" customHeight="1" x14ac:dyDescent="0.2">
      <c r="B145" s="212"/>
      <c r="C145" s="913" t="s">
        <v>116</v>
      </c>
      <c r="D145" s="930" t="str">
        <f ca="1">'Battery Design'!G295</f>
        <v>Max Thickness</v>
      </c>
      <c r="E145" s="930" t="str">
        <f ca="1">'Battery Design'!H295</f>
        <v>Max Thickness</v>
      </c>
      <c r="F145" s="930" t="str">
        <f ca="1">'Battery Design'!I295</f>
        <v>Max Thickness</v>
      </c>
      <c r="G145" s="930" t="str">
        <f ca="1">'Battery Design'!J295</f>
        <v>Max Thickness</v>
      </c>
      <c r="H145" s="930" t="str">
        <f ca="1">'Battery Design'!K295</f>
        <v>Max Thickness</v>
      </c>
      <c r="I145" s="930" t="str">
        <f ca="1">'Battery Design'!L295</f>
        <v>Max Thickness</v>
      </c>
      <c r="J145" s="930" t="str">
        <f ca="1">'Battery Design'!M295</f>
        <v>Max Thickness</v>
      </c>
      <c r="K145" s="8"/>
      <c r="L145" s="201"/>
      <c r="O145" s="8"/>
      <c r="P145" s="8"/>
      <c r="Q145" s="8"/>
      <c r="R145" s="8"/>
      <c r="S145" s="8"/>
      <c r="T145" s="8"/>
      <c r="U145" s="8"/>
      <c r="V145" s="8"/>
      <c r="W145" s="8"/>
      <c r="X145" s="8"/>
      <c r="Y145" s="8"/>
    </row>
    <row r="146" spans="1:25" x14ac:dyDescent="0.2">
      <c r="B146" s="212"/>
      <c r="C146" s="5"/>
      <c r="D146" s="916"/>
      <c r="E146" s="916"/>
      <c r="F146" s="916"/>
      <c r="G146" s="916"/>
      <c r="H146" s="916"/>
      <c r="I146" s="916"/>
      <c r="J146" s="916"/>
      <c r="K146" s="8"/>
      <c r="L146" s="201"/>
      <c r="O146" s="8"/>
      <c r="P146" s="8"/>
      <c r="Q146" s="8"/>
      <c r="R146" s="8"/>
      <c r="S146" s="8"/>
      <c r="T146" s="8"/>
      <c r="U146" s="8"/>
      <c r="V146" s="8"/>
      <c r="W146" s="8"/>
      <c r="X146" s="8"/>
      <c r="Y146" s="8"/>
    </row>
    <row r="147" spans="1:25" x14ac:dyDescent="0.2">
      <c r="B147" s="212"/>
      <c r="D147" s="1013"/>
      <c r="E147" s="1013"/>
      <c r="F147" s="1013"/>
      <c r="G147" s="1013"/>
      <c r="H147" s="1013"/>
      <c r="I147" s="1013"/>
      <c r="J147" s="1013"/>
      <c r="K147" s="8"/>
      <c r="L147" s="201"/>
      <c r="O147" s="8"/>
      <c r="P147" s="8"/>
      <c r="Q147" s="8"/>
      <c r="R147" s="8"/>
      <c r="S147" s="8"/>
      <c r="T147" s="8"/>
      <c r="U147" s="8"/>
      <c r="V147" s="8"/>
      <c r="W147" s="8"/>
      <c r="X147" s="8"/>
      <c r="Y147" s="8"/>
    </row>
    <row r="148" spans="1:25" x14ac:dyDescent="0.2">
      <c r="B148" s="212"/>
      <c r="L148" s="201"/>
      <c r="O148" s="227"/>
      <c r="P148" s="8"/>
      <c r="Q148" s="8"/>
      <c r="R148" s="8"/>
      <c r="S148" s="8"/>
      <c r="T148" s="8"/>
      <c r="U148" s="8"/>
      <c r="V148" s="8"/>
      <c r="W148" s="8"/>
      <c r="X148" s="8"/>
      <c r="Y148" s="8"/>
    </row>
    <row r="149" spans="1:25" ht="15.75" customHeight="1" thickBot="1" x14ac:dyDescent="0.25">
      <c r="B149" s="212"/>
      <c r="L149" s="201"/>
      <c r="O149" s="8"/>
      <c r="P149" s="8"/>
      <c r="Q149" s="8"/>
      <c r="R149" s="8"/>
      <c r="S149" s="8"/>
      <c r="T149" s="8"/>
      <c r="U149" s="8"/>
      <c r="V149" s="8"/>
      <c r="W149" s="8"/>
      <c r="X149" s="8"/>
      <c r="Y149" s="8"/>
    </row>
    <row r="150" spans="1:25" ht="19" thickBot="1" x14ac:dyDescent="0.25">
      <c r="A150" s="6"/>
      <c r="B150" s="970" t="s">
        <v>117</v>
      </c>
      <c r="C150" s="215"/>
      <c r="D150" s="1219"/>
      <c r="E150" s="1219"/>
      <c r="F150" s="971"/>
      <c r="G150" s="971"/>
      <c r="H150" s="971"/>
      <c r="I150" s="971"/>
      <c r="J150" s="971"/>
      <c r="K150" s="971"/>
      <c r="L150" s="978"/>
      <c r="O150" s="8"/>
      <c r="P150" s="8"/>
      <c r="Q150" s="8"/>
      <c r="R150" s="8"/>
      <c r="S150" s="8"/>
      <c r="T150" s="8"/>
      <c r="U150" s="8"/>
      <c r="V150" s="8"/>
      <c r="W150" s="8"/>
      <c r="X150" s="8"/>
      <c r="Y150" s="8"/>
    </row>
    <row r="151" spans="1:25" x14ac:dyDescent="0.2">
      <c r="A151" s="6"/>
      <c r="B151" s="437"/>
      <c r="C151" s="209"/>
      <c r="D151" s="210"/>
      <c r="E151" s="210"/>
      <c r="F151" s="211"/>
      <c r="G151" s="211"/>
      <c r="H151" s="211"/>
      <c r="I151" s="211"/>
      <c r="J151" s="211"/>
      <c r="K151" s="211"/>
      <c r="L151" s="198"/>
      <c r="O151" s="8"/>
      <c r="P151" s="8"/>
      <c r="Q151" s="8"/>
      <c r="R151" s="8"/>
      <c r="S151" s="8"/>
      <c r="T151" s="8"/>
      <c r="U151" s="8"/>
      <c r="V151" s="8"/>
      <c r="W151" s="8"/>
      <c r="X151" s="8"/>
      <c r="Y151" s="8"/>
    </row>
    <row r="152" spans="1:25" x14ac:dyDescent="0.2">
      <c r="A152" s="6"/>
      <c r="B152" s="212"/>
      <c r="L152" s="201"/>
      <c r="O152" s="8"/>
      <c r="P152" s="8"/>
      <c r="Q152" s="8"/>
      <c r="R152" s="8"/>
      <c r="S152" s="8"/>
      <c r="T152" s="8"/>
      <c r="U152" s="8"/>
      <c r="V152" s="8"/>
      <c r="W152" s="8"/>
      <c r="X152" s="8"/>
      <c r="Y152" s="8"/>
    </row>
    <row r="153" spans="1:25" ht="17" thickBot="1" x14ac:dyDescent="0.25">
      <c r="A153" s="6"/>
      <c r="B153" s="212"/>
      <c r="L153" s="201"/>
      <c r="O153" s="8"/>
      <c r="P153" s="8"/>
      <c r="Q153" s="8"/>
      <c r="R153" s="8"/>
      <c r="S153" s="8"/>
      <c r="T153" s="8"/>
      <c r="U153" s="8"/>
      <c r="V153" s="8"/>
      <c r="W153" s="8"/>
      <c r="X153" s="8"/>
      <c r="Y153" s="8"/>
    </row>
    <row r="154" spans="1:25" ht="17" thickBot="1" x14ac:dyDescent="0.25">
      <c r="A154" s="6"/>
      <c r="B154" s="981"/>
      <c r="D154" s="216" t="str">
        <f>IF($C$155 ="Absolute", C156, "Change in " &amp; C156 &amp; ", %")</f>
        <v>Battery Number</v>
      </c>
      <c r="E154" s="216">
        <f t="array" ref="E154">SUM(IF(ISERROR(C200:C231), 0, 1)) - 1</f>
        <v>28</v>
      </c>
      <c r="F154" s="216" t="str">
        <f>IF($C$155 ="Absolute", C157, "Change in " &amp; C157 &amp; ", %")</f>
        <v>Pack cost, $/kWh</v>
      </c>
      <c r="G154" s="216"/>
      <c r="H154" s="216" t="str">
        <f>IF($C$155 ="Absolute", C158, "Change in " &amp; C158 &amp; ", %")</f>
        <v>Pack specific energy, Wh/kg</v>
      </c>
      <c r="I154" s="216"/>
      <c r="J154" s="217" t="e">
        <f ca="1">IFERROR(IF(AND(#REF!="Acceptable", D144="Excellent", D146="Yes"), "", NA()), NA())</f>
        <v>#N/A</v>
      </c>
      <c r="L154" s="201"/>
      <c r="O154" s="8"/>
      <c r="P154" s="8"/>
      <c r="Q154" s="8"/>
      <c r="R154" s="8"/>
      <c r="S154" s="8"/>
      <c r="T154" s="8"/>
      <c r="U154" s="8"/>
      <c r="V154" s="8"/>
      <c r="W154" s="8"/>
      <c r="X154" s="8"/>
      <c r="Y154" s="8"/>
    </row>
    <row r="155" spans="1:25" ht="17" thickBot="1" x14ac:dyDescent="0.25">
      <c r="A155" s="6"/>
      <c r="B155" s="892" t="s">
        <v>118</v>
      </c>
      <c r="C155" s="979" t="s">
        <v>119</v>
      </c>
      <c r="D155" s="893" t="s">
        <v>56</v>
      </c>
      <c r="E155" s="894" t="s">
        <v>57</v>
      </c>
      <c r="F155" s="894" t="s">
        <v>58</v>
      </c>
      <c r="G155" s="894" t="s">
        <v>59</v>
      </c>
      <c r="H155" s="894" t="s">
        <v>60</v>
      </c>
      <c r="I155" s="894" t="s">
        <v>61</v>
      </c>
      <c r="J155" s="895" t="s">
        <v>62</v>
      </c>
      <c r="L155" s="201"/>
      <c r="O155" s="8"/>
      <c r="P155" s="8"/>
      <c r="Q155" s="8"/>
      <c r="R155" s="8"/>
      <c r="S155" s="8"/>
      <c r="T155" s="8"/>
      <c r="U155" s="8"/>
      <c r="V155" s="8"/>
      <c r="W155" s="8"/>
      <c r="X155" s="8"/>
      <c r="Y155" s="8"/>
    </row>
    <row r="156" spans="1:25" ht="51.75" customHeight="1" thickBot="1" x14ac:dyDescent="0.25">
      <c r="A156" s="6"/>
      <c r="B156" s="892" t="s">
        <v>120</v>
      </c>
      <c r="C156" s="980" t="s">
        <v>2430</v>
      </c>
      <c r="D156" s="896">
        <f>INDEX(D$200:D$253, MATCH($C156, $C$200:$C$253, 0))</f>
        <v>1</v>
      </c>
      <c r="E156" s="896">
        <f t="shared" ref="E156:J158" si="1">INDEX(E$200:E$253, MATCH($C156, $C$200:$C$253, 0))</f>
        <v>2</v>
      </c>
      <c r="F156" s="896">
        <f t="shared" si="1"/>
        <v>3</v>
      </c>
      <c r="G156" s="896">
        <f t="shared" si="1"/>
        <v>4</v>
      </c>
      <c r="H156" s="896">
        <f t="shared" si="1"/>
        <v>5</v>
      </c>
      <c r="I156" s="896">
        <f t="shared" si="1"/>
        <v>6</v>
      </c>
      <c r="J156" s="896">
        <f t="shared" si="1"/>
        <v>7</v>
      </c>
      <c r="L156" s="982"/>
      <c r="O156" s="8"/>
      <c r="P156" s="8"/>
      <c r="Q156" s="8"/>
      <c r="R156" s="8"/>
      <c r="S156" s="8"/>
      <c r="T156" s="8"/>
      <c r="U156" s="8"/>
      <c r="V156" s="8"/>
      <c r="W156" s="8"/>
      <c r="X156" s="8"/>
      <c r="Y156" s="8"/>
    </row>
    <row r="157" spans="1:25" ht="48.75" customHeight="1" thickBot="1" x14ac:dyDescent="0.25">
      <c r="A157" s="6"/>
      <c r="B157" s="892" t="s">
        <v>122</v>
      </c>
      <c r="C157" s="980" t="s">
        <v>123</v>
      </c>
      <c r="D157" s="896">
        <f t="shared" ref="D157:D158" ca="1" si="2">INDEX(D$200:D$253, MATCH($C157, $C$200:$C$253, 0))</f>
        <v>123.27929746916907</v>
      </c>
      <c r="E157" s="896">
        <f t="shared" ca="1" si="1"/>
        <v>123.27929746916907</v>
      </c>
      <c r="F157" s="896">
        <f t="shared" ca="1" si="1"/>
        <v>123.27929746916907</v>
      </c>
      <c r="G157" s="896">
        <f t="shared" ca="1" si="1"/>
        <v>123.27929746916907</v>
      </c>
      <c r="H157" s="896">
        <f t="shared" ca="1" si="1"/>
        <v>123.27929746916907</v>
      </c>
      <c r="I157" s="896">
        <f t="shared" ca="1" si="1"/>
        <v>123.27929746916907</v>
      </c>
      <c r="J157" s="896">
        <f t="shared" ca="1" si="1"/>
        <v>123.27929746916907</v>
      </c>
      <c r="L157" s="201"/>
      <c r="O157" s="8"/>
      <c r="P157" s="8"/>
      <c r="Q157" s="8"/>
      <c r="R157" s="8"/>
      <c r="S157" s="8"/>
      <c r="T157" s="8"/>
      <c r="U157" s="8"/>
      <c r="V157" s="8"/>
      <c r="W157" s="8"/>
      <c r="X157" s="8"/>
      <c r="Y157" s="8"/>
    </row>
    <row r="158" spans="1:25" ht="48" customHeight="1" thickBot="1" x14ac:dyDescent="0.25">
      <c r="A158" s="6"/>
      <c r="B158" s="892" t="s">
        <v>124</v>
      </c>
      <c r="C158" s="980" t="s">
        <v>183</v>
      </c>
      <c r="D158" s="896">
        <f t="shared" ca="1" si="2"/>
        <v>171.83678014154691</v>
      </c>
      <c r="E158" s="896">
        <f t="shared" ca="1" si="1"/>
        <v>171.83678014154691</v>
      </c>
      <c r="F158" s="896">
        <f t="shared" ca="1" si="1"/>
        <v>171.83678014154691</v>
      </c>
      <c r="G158" s="896">
        <f t="shared" ca="1" si="1"/>
        <v>171.83678014154691</v>
      </c>
      <c r="H158" s="896">
        <f t="shared" ca="1" si="1"/>
        <v>171.83678014154691</v>
      </c>
      <c r="I158" s="896">
        <f t="shared" ca="1" si="1"/>
        <v>171.83678014154691</v>
      </c>
      <c r="J158" s="896">
        <f t="shared" ca="1" si="1"/>
        <v>171.83678014154691</v>
      </c>
      <c r="L158" s="201"/>
      <c r="O158" s="8"/>
      <c r="P158" s="8"/>
      <c r="Q158" s="8"/>
      <c r="R158" s="8"/>
      <c r="S158" s="8"/>
      <c r="T158" s="8"/>
      <c r="U158" s="8"/>
      <c r="V158" s="8"/>
      <c r="W158" s="8"/>
      <c r="X158" s="8"/>
      <c r="Y158" s="8"/>
    </row>
    <row r="159" spans="1:25" outlineLevel="2" x14ac:dyDescent="0.2">
      <c r="A159" s="6"/>
      <c r="B159" s="212"/>
      <c r="C159" s="6"/>
      <c r="D159" s="6"/>
      <c r="E159" s="6"/>
      <c r="L159" s="201"/>
      <c r="O159" s="8"/>
      <c r="P159" s="8"/>
      <c r="Q159" s="8"/>
      <c r="R159" s="8"/>
      <c r="S159" s="8"/>
      <c r="T159" s="8"/>
      <c r="U159" s="8"/>
      <c r="V159" s="8"/>
      <c r="W159" s="8"/>
      <c r="X159" s="8"/>
      <c r="Y159" s="8"/>
    </row>
    <row r="160" spans="1:25" outlineLevel="2" x14ac:dyDescent="0.2">
      <c r="A160" s="6"/>
      <c r="B160" s="212"/>
      <c r="C160" s="6"/>
      <c r="D160" s="6"/>
      <c r="E160" s="6"/>
      <c r="L160" s="201"/>
      <c r="O160" s="8"/>
      <c r="P160" s="8"/>
      <c r="Q160" s="8"/>
      <c r="R160" s="8"/>
      <c r="S160" s="8"/>
      <c r="T160" s="8"/>
      <c r="U160" s="8"/>
      <c r="V160" s="8"/>
      <c r="W160" s="8"/>
      <c r="X160" s="8"/>
      <c r="Y160" s="8"/>
    </row>
    <row r="161" spans="1:26" outlineLevel="2" x14ac:dyDescent="0.2">
      <c r="A161" s="6"/>
      <c r="B161" s="212"/>
      <c r="C161" s="6"/>
      <c r="D161" s="6"/>
      <c r="E161" s="6"/>
      <c r="L161" s="201"/>
      <c r="O161" s="8"/>
      <c r="P161" s="8"/>
      <c r="Q161" s="8"/>
      <c r="R161" s="8"/>
      <c r="S161" s="8"/>
      <c r="T161" s="8"/>
      <c r="U161" s="8"/>
      <c r="V161" s="8"/>
      <c r="W161" s="8"/>
      <c r="X161" s="8"/>
      <c r="Y161" s="8"/>
    </row>
    <row r="162" spans="1:26" outlineLevel="2" x14ac:dyDescent="0.2">
      <c r="A162" s="6"/>
      <c r="B162" s="212"/>
      <c r="C162" s="6"/>
      <c r="D162" s="6"/>
      <c r="E162" s="6"/>
      <c r="L162" s="201"/>
      <c r="O162" s="8"/>
      <c r="P162" s="8"/>
      <c r="Q162" s="8"/>
      <c r="R162" s="8"/>
      <c r="S162" s="8"/>
      <c r="T162" s="8"/>
      <c r="U162" s="8"/>
      <c r="V162" s="8"/>
      <c r="W162" s="8"/>
      <c r="X162" s="8"/>
      <c r="Y162" s="8"/>
    </row>
    <row r="163" spans="1:26" outlineLevel="2" x14ac:dyDescent="0.2">
      <c r="A163" s="6"/>
      <c r="B163" s="212"/>
      <c r="C163" s="6"/>
      <c r="D163" s="6"/>
      <c r="E163" s="6"/>
      <c r="L163" s="201"/>
      <c r="O163" s="8"/>
      <c r="P163" s="8"/>
      <c r="Q163" s="8"/>
      <c r="R163" s="8"/>
      <c r="S163" s="8"/>
      <c r="T163" s="8"/>
      <c r="U163" s="8"/>
      <c r="V163" s="8"/>
      <c r="W163" s="8"/>
      <c r="X163" s="8"/>
      <c r="Y163" s="8"/>
    </row>
    <row r="164" spans="1:26" outlineLevel="2" x14ac:dyDescent="0.2">
      <c r="A164" s="6"/>
      <c r="B164" s="212"/>
      <c r="C164" s="6"/>
      <c r="D164" s="6"/>
      <c r="E164" s="6"/>
      <c r="L164" s="201"/>
      <c r="O164" s="8"/>
      <c r="P164" s="8"/>
      <c r="Q164" s="8"/>
      <c r="R164" s="8"/>
      <c r="S164" s="8"/>
      <c r="T164" s="8"/>
      <c r="U164" s="8"/>
      <c r="V164" s="8"/>
      <c r="W164" s="8"/>
      <c r="X164" s="8"/>
      <c r="Y164" s="8"/>
    </row>
    <row r="165" spans="1:26" outlineLevel="2" x14ac:dyDescent="0.2">
      <c r="A165" s="6"/>
      <c r="B165" s="212"/>
      <c r="C165" s="6"/>
      <c r="D165" s="6"/>
      <c r="E165" s="6"/>
      <c r="L165" s="201"/>
      <c r="O165" s="8"/>
      <c r="P165" s="8"/>
      <c r="Q165" s="8"/>
      <c r="R165" s="8"/>
      <c r="S165" s="8"/>
      <c r="T165" s="8"/>
      <c r="U165" s="8"/>
      <c r="V165" s="8"/>
      <c r="W165" s="8"/>
      <c r="X165" s="8"/>
      <c r="Y165" s="8"/>
    </row>
    <row r="166" spans="1:26" outlineLevel="2" x14ac:dyDescent="0.2">
      <c r="A166" s="6"/>
      <c r="B166" s="212"/>
      <c r="C166" s="6"/>
      <c r="D166" s="6"/>
      <c r="E166" s="6"/>
      <c r="L166" s="201"/>
      <c r="O166" s="8"/>
      <c r="P166" s="8"/>
      <c r="Q166" s="8"/>
      <c r="R166" s="8"/>
      <c r="S166" s="8"/>
      <c r="T166" s="8"/>
      <c r="U166" s="8"/>
      <c r="V166" s="8"/>
      <c r="W166" s="8"/>
      <c r="X166" s="8"/>
      <c r="Y166" s="8"/>
    </row>
    <row r="167" spans="1:26" outlineLevel="2" x14ac:dyDescent="0.2">
      <c r="A167" s="6"/>
      <c r="B167" s="212"/>
      <c r="C167" s="6"/>
      <c r="D167" s="6"/>
      <c r="E167" s="6"/>
      <c r="L167" s="201"/>
      <c r="O167" s="8"/>
      <c r="P167" s="8"/>
      <c r="Q167" s="8"/>
      <c r="R167" s="8"/>
      <c r="S167" s="8"/>
      <c r="T167" s="8"/>
      <c r="U167" s="8"/>
      <c r="V167" s="8"/>
      <c r="W167" s="8"/>
      <c r="X167" s="8"/>
      <c r="Y167" s="8"/>
    </row>
    <row r="168" spans="1:26" outlineLevel="2" x14ac:dyDescent="0.2">
      <c r="A168" s="6"/>
      <c r="B168" s="212"/>
      <c r="C168" s="6"/>
      <c r="D168" s="6"/>
      <c r="E168" s="6"/>
      <c r="L168" s="201"/>
      <c r="O168" s="8"/>
      <c r="P168" s="8"/>
      <c r="Q168" s="8"/>
      <c r="R168" s="8"/>
      <c r="S168" s="8"/>
      <c r="T168" s="8"/>
      <c r="U168" s="8"/>
      <c r="V168" s="8"/>
      <c r="W168" s="8"/>
      <c r="X168" s="8"/>
      <c r="Y168" s="8"/>
    </row>
    <row r="169" spans="1:26" outlineLevel="2" x14ac:dyDescent="0.2">
      <c r="A169" s="6"/>
      <c r="B169" s="212"/>
      <c r="C169" s="6"/>
      <c r="D169" s="6"/>
      <c r="E169" s="6"/>
      <c r="L169" s="201"/>
      <c r="O169" s="8"/>
      <c r="P169" s="8"/>
      <c r="Q169" s="8"/>
      <c r="R169" s="8"/>
      <c r="S169" s="8"/>
      <c r="T169" s="8"/>
      <c r="U169" s="8"/>
      <c r="V169" s="8"/>
      <c r="W169" s="8"/>
      <c r="X169" s="8"/>
      <c r="Y169" s="8"/>
    </row>
    <row r="170" spans="1:26" outlineLevel="2" x14ac:dyDescent="0.2">
      <c r="A170" s="6"/>
      <c r="B170" s="212"/>
      <c r="C170" s="6"/>
      <c r="D170" s="6"/>
      <c r="E170" s="6"/>
      <c r="L170" s="201"/>
      <c r="O170" s="8"/>
      <c r="P170" s="8"/>
      <c r="Q170" s="8"/>
      <c r="R170" s="8"/>
      <c r="S170" s="8"/>
      <c r="T170" s="8"/>
      <c r="U170" s="8"/>
      <c r="V170" s="8"/>
      <c r="W170" s="8"/>
      <c r="X170" s="8"/>
      <c r="Y170" s="8"/>
    </row>
    <row r="171" spans="1:26" outlineLevel="2" x14ac:dyDescent="0.2">
      <c r="A171" s="6"/>
      <c r="B171" s="212"/>
      <c r="C171" s="6"/>
      <c r="D171" s="6"/>
      <c r="E171" s="6"/>
      <c r="L171" s="201"/>
      <c r="O171" s="8"/>
      <c r="P171" s="8"/>
      <c r="Q171" s="8"/>
      <c r="R171" s="8"/>
      <c r="S171" s="8"/>
      <c r="T171" s="8"/>
      <c r="U171" s="8"/>
      <c r="V171" s="8"/>
      <c r="W171" s="8"/>
      <c r="X171" s="8"/>
      <c r="Y171" s="8"/>
    </row>
    <row r="172" spans="1:26" outlineLevel="2" x14ac:dyDescent="0.2">
      <c r="A172" s="6"/>
      <c r="B172" s="212"/>
      <c r="C172" s="6"/>
      <c r="D172" s="6"/>
      <c r="E172" s="6"/>
      <c r="L172" s="201"/>
      <c r="O172" s="8"/>
      <c r="P172" s="8"/>
      <c r="Q172" s="8"/>
      <c r="R172" s="8"/>
      <c r="S172" s="8"/>
      <c r="T172" s="8"/>
      <c r="U172" s="8"/>
      <c r="V172" s="8"/>
      <c r="W172" s="8"/>
      <c r="X172" s="8"/>
      <c r="Y172" s="8"/>
    </row>
    <row r="173" spans="1:26" outlineLevel="2" x14ac:dyDescent="0.2">
      <c r="A173" s="6"/>
      <c r="B173" s="212"/>
      <c r="C173" s="6"/>
      <c r="D173" s="6"/>
      <c r="E173" s="6"/>
      <c r="L173" s="201"/>
      <c r="O173" s="8"/>
      <c r="P173" s="8"/>
      <c r="Q173" s="8"/>
      <c r="R173" s="8"/>
      <c r="S173" s="8"/>
      <c r="T173" s="8"/>
      <c r="U173" s="8"/>
      <c r="V173" s="8"/>
      <c r="W173" s="8"/>
      <c r="X173" s="8"/>
      <c r="Y173" s="8"/>
    </row>
    <row r="174" spans="1:26" outlineLevel="2" x14ac:dyDescent="0.2">
      <c r="A174" s="6"/>
      <c r="B174" s="212"/>
      <c r="C174" s="6"/>
      <c r="D174" s="6"/>
      <c r="E174" s="6"/>
      <c r="L174" s="201"/>
      <c r="O174" s="8"/>
      <c r="P174" s="8"/>
      <c r="Q174" s="8"/>
      <c r="R174" s="8"/>
      <c r="S174" s="8"/>
      <c r="T174" s="8"/>
      <c r="U174" s="8"/>
      <c r="V174" s="8"/>
      <c r="W174" s="8"/>
      <c r="X174" s="8"/>
      <c r="Y174" s="8"/>
    </row>
    <row r="175" spans="1:26" outlineLevel="2" x14ac:dyDescent="0.2">
      <c r="A175" s="6"/>
      <c r="B175" s="212"/>
      <c r="C175" s="6"/>
      <c r="D175" s="6"/>
      <c r="E175" s="6"/>
      <c r="L175" s="201"/>
      <c r="O175" s="8"/>
      <c r="P175" s="8"/>
      <c r="Q175" s="8"/>
      <c r="R175" s="8"/>
      <c r="S175" s="8"/>
      <c r="T175" s="8"/>
      <c r="U175" s="8"/>
      <c r="V175" s="8"/>
      <c r="W175" s="8"/>
      <c r="X175" s="8"/>
      <c r="Y175" s="8"/>
    </row>
    <row r="176" spans="1:26" outlineLevel="2" x14ac:dyDescent="0.2">
      <c r="A176" s="6"/>
      <c r="B176" s="212"/>
      <c r="C176" s="6"/>
      <c r="D176" s="6"/>
      <c r="E176" s="6"/>
      <c r="L176" s="201"/>
      <c r="O176" s="8"/>
      <c r="P176" s="8"/>
      <c r="Q176" s="8"/>
      <c r="R176" s="8"/>
      <c r="S176" s="8"/>
      <c r="T176" s="8"/>
      <c r="U176" s="8"/>
      <c r="V176" s="8"/>
      <c r="W176" s="8"/>
      <c r="X176" s="8"/>
      <c r="Y176" s="8"/>
      <c r="Z176" s="8"/>
    </row>
    <row r="177" spans="1:26" outlineLevel="2" x14ac:dyDescent="0.2">
      <c r="A177" s="6"/>
      <c r="B177" s="212"/>
      <c r="C177" s="6"/>
      <c r="D177" s="6"/>
      <c r="E177" s="6"/>
      <c r="L177" s="201"/>
      <c r="O177" s="8"/>
      <c r="P177" s="8"/>
      <c r="Q177" s="8"/>
      <c r="R177" s="8"/>
      <c r="S177" s="8"/>
      <c r="T177" s="8"/>
      <c r="U177" s="8"/>
      <c r="V177" s="8"/>
      <c r="W177" s="8"/>
      <c r="X177" s="8"/>
      <c r="Y177" s="8"/>
      <c r="Z177" s="8"/>
    </row>
    <row r="178" spans="1:26" outlineLevel="2" x14ac:dyDescent="0.2">
      <c r="A178" s="6"/>
      <c r="B178" s="212"/>
      <c r="C178" s="6"/>
      <c r="D178" s="6"/>
      <c r="E178" s="6"/>
      <c r="L178" s="201"/>
      <c r="O178" s="8"/>
      <c r="P178" s="8"/>
      <c r="Q178" s="8"/>
      <c r="R178" s="8"/>
      <c r="S178" s="8"/>
      <c r="T178" s="8"/>
      <c r="U178" s="8"/>
      <c r="V178" s="8"/>
      <c r="W178" s="8"/>
      <c r="X178" s="8"/>
      <c r="Y178" s="8"/>
      <c r="Z178" s="8"/>
    </row>
    <row r="179" spans="1:26" outlineLevel="2" x14ac:dyDescent="0.2">
      <c r="B179" s="212"/>
      <c r="C179" s="6"/>
      <c r="D179" s="6"/>
      <c r="E179" s="6"/>
      <c r="L179" s="201"/>
      <c r="O179" s="8"/>
      <c r="P179" s="8"/>
      <c r="Q179" s="8"/>
      <c r="R179" s="8"/>
      <c r="S179" s="8"/>
      <c r="T179" s="8"/>
      <c r="U179" s="8"/>
      <c r="V179" s="8"/>
      <c r="W179" s="8"/>
      <c r="X179" s="8"/>
      <c r="Y179" s="8"/>
      <c r="Z179" s="8"/>
    </row>
    <row r="180" spans="1:26" outlineLevel="2" x14ac:dyDescent="0.2">
      <c r="B180" s="212"/>
      <c r="C180" s="6"/>
      <c r="D180" s="6"/>
      <c r="E180" s="6"/>
      <c r="L180" s="201"/>
      <c r="O180" s="8"/>
      <c r="P180" s="8"/>
      <c r="Q180" s="8"/>
      <c r="R180" s="8"/>
      <c r="S180" s="8"/>
      <c r="T180" s="8"/>
      <c r="U180" s="8"/>
      <c r="V180" s="8"/>
      <c r="W180" s="8"/>
      <c r="X180" s="8"/>
      <c r="Y180" s="8"/>
      <c r="Z180" s="8"/>
    </row>
    <row r="181" spans="1:26" outlineLevel="2" x14ac:dyDescent="0.2">
      <c r="B181" s="212"/>
      <c r="C181" s="6"/>
      <c r="D181" s="6"/>
      <c r="E181" s="6"/>
      <c r="L181" s="201"/>
      <c r="O181" s="8"/>
      <c r="P181" s="8"/>
      <c r="Q181" s="8"/>
      <c r="R181" s="8"/>
      <c r="S181" s="8"/>
      <c r="T181" s="8"/>
      <c r="U181" s="8"/>
      <c r="V181" s="8"/>
      <c r="W181" s="8"/>
      <c r="X181" s="8"/>
      <c r="Y181" s="8"/>
      <c r="Z181" s="8"/>
    </row>
    <row r="182" spans="1:26" outlineLevel="2" x14ac:dyDescent="0.2">
      <c r="B182" s="212"/>
      <c r="C182" s="6"/>
      <c r="D182" s="6"/>
      <c r="E182" s="6"/>
      <c r="L182" s="201"/>
      <c r="O182" s="8"/>
      <c r="P182" s="8"/>
      <c r="Q182" s="8"/>
      <c r="R182" s="8"/>
      <c r="S182" s="8"/>
      <c r="T182" s="8"/>
      <c r="U182" s="8"/>
      <c r="V182" s="8"/>
      <c r="W182" s="8"/>
      <c r="X182" s="8"/>
      <c r="Y182" s="8"/>
      <c r="Z182" s="8"/>
    </row>
    <row r="183" spans="1:26" outlineLevel="2" x14ac:dyDescent="0.2">
      <c r="B183" s="212"/>
      <c r="C183" s="6"/>
      <c r="D183" s="6"/>
      <c r="E183" s="6"/>
      <c r="L183" s="201"/>
      <c r="O183" s="8"/>
      <c r="P183" s="8"/>
      <c r="Q183" s="8"/>
      <c r="R183" s="8"/>
      <c r="S183" s="8"/>
      <c r="T183" s="8"/>
      <c r="U183" s="8"/>
      <c r="V183" s="8"/>
      <c r="W183" s="8"/>
      <c r="X183" s="8"/>
      <c r="Y183" s="8"/>
      <c r="Z183" s="8"/>
    </row>
    <row r="184" spans="1:26" outlineLevel="2" x14ac:dyDescent="0.2">
      <c r="B184" s="212"/>
      <c r="L184" s="201"/>
      <c r="O184" s="8"/>
      <c r="P184" s="8"/>
      <c r="Q184" s="8"/>
      <c r="R184" s="8"/>
      <c r="S184" s="8"/>
      <c r="T184" s="8"/>
      <c r="U184" s="8"/>
      <c r="V184" s="8"/>
      <c r="W184" s="8"/>
      <c r="X184" s="8"/>
      <c r="Y184" s="8"/>
    </row>
    <row r="185" spans="1:26" outlineLevel="2" x14ac:dyDescent="0.2">
      <c r="B185" s="212"/>
      <c r="L185" s="201"/>
      <c r="O185" s="8"/>
      <c r="P185" s="8"/>
      <c r="Q185" s="8"/>
      <c r="R185" s="8"/>
      <c r="S185" s="8"/>
      <c r="T185" s="8"/>
      <c r="U185" s="8"/>
      <c r="V185" s="8"/>
      <c r="W185" s="8"/>
      <c r="X185" s="8"/>
      <c r="Y185" s="8"/>
    </row>
    <row r="186" spans="1:26" outlineLevel="2" x14ac:dyDescent="0.2">
      <c r="B186" s="212"/>
      <c r="L186" s="201"/>
      <c r="O186" s="8"/>
      <c r="P186" s="8"/>
      <c r="Q186" s="8"/>
      <c r="R186" s="8"/>
      <c r="S186" s="8"/>
      <c r="T186" s="8"/>
      <c r="U186" s="8"/>
      <c r="V186" s="8"/>
      <c r="W186" s="8"/>
      <c r="X186" s="8"/>
      <c r="Y186" s="8"/>
    </row>
    <row r="187" spans="1:26" outlineLevel="2" x14ac:dyDescent="0.2">
      <c r="B187" s="212"/>
      <c r="L187" s="201"/>
      <c r="O187" s="8"/>
      <c r="P187" s="8"/>
      <c r="Q187" s="8"/>
      <c r="R187" s="8"/>
      <c r="S187" s="8"/>
      <c r="T187" s="8"/>
      <c r="U187" s="8"/>
      <c r="V187" s="8"/>
      <c r="W187" s="8"/>
      <c r="X187" s="8"/>
      <c r="Y187" s="8"/>
    </row>
    <row r="188" spans="1:26" outlineLevel="2" x14ac:dyDescent="0.2">
      <c r="B188" s="212"/>
      <c r="L188" s="201"/>
      <c r="O188" s="8"/>
      <c r="P188" s="8"/>
      <c r="Q188" s="8"/>
      <c r="R188" s="8"/>
      <c r="S188" s="8"/>
      <c r="T188" s="8"/>
      <c r="U188" s="8"/>
      <c r="V188" s="8"/>
      <c r="W188" s="8"/>
      <c r="X188" s="8"/>
      <c r="Y188" s="8"/>
    </row>
    <row r="189" spans="1:26" outlineLevel="2" x14ac:dyDescent="0.2">
      <c r="B189" s="212"/>
      <c r="L189" s="201"/>
      <c r="O189" s="8"/>
      <c r="P189" s="8"/>
      <c r="Q189" s="226"/>
      <c r="R189" s="8"/>
      <c r="S189" s="8"/>
      <c r="T189" s="8"/>
      <c r="U189" s="8"/>
      <c r="V189" s="8"/>
      <c r="W189" s="8"/>
      <c r="X189" s="8"/>
      <c r="Y189" s="8"/>
    </row>
    <row r="190" spans="1:26" outlineLevel="2" x14ac:dyDescent="0.2">
      <c r="B190" s="212"/>
      <c r="L190" s="201"/>
      <c r="O190" s="8"/>
      <c r="P190" s="8"/>
      <c r="Q190" s="8"/>
      <c r="R190" s="8"/>
      <c r="S190" s="8"/>
      <c r="T190" s="8"/>
      <c r="U190" s="8"/>
      <c r="V190" s="8"/>
      <c r="W190" s="8"/>
      <c r="X190" s="8"/>
      <c r="Y190" s="8"/>
    </row>
    <row r="191" spans="1:26" outlineLevel="2" x14ac:dyDescent="0.2">
      <c r="B191" s="212"/>
      <c r="L191" s="201"/>
      <c r="O191" s="8"/>
      <c r="P191" s="8"/>
      <c r="Q191" s="8"/>
      <c r="R191" s="8"/>
      <c r="S191" s="8"/>
      <c r="T191" s="8"/>
      <c r="U191" s="8"/>
      <c r="V191" s="8"/>
      <c r="W191" s="8"/>
      <c r="X191" s="8"/>
      <c r="Y191" s="8"/>
    </row>
    <row r="192" spans="1:26" ht="17" outlineLevel="2" thickBot="1" x14ac:dyDescent="0.25">
      <c r="B192" s="206"/>
      <c r="C192" s="213"/>
      <c r="D192" s="214"/>
      <c r="E192" s="214"/>
      <c r="F192" s="203"/>
      <c r="G192" s="203"/>
      <c r="H192" s="203"/>
      <c r="I192" s="203"/>
      <c r="J192" s="203"/>
      <c r="K192" s="203"/>
      <c r="L192" s="207"/>
      <c r="O192" s="8"/>
      <c r="P192" s="8"/>
      <c r="Q192" s="8"/>
      <c r="R192" s="8"/>
      <c r="S192" s="8"/>
      <c r="T192" s="8"/>
      <c r="U192" s="8"/>
      <c r="V192" s="8"/>
      <c r="W192" s="8"/>
      <c r="X192" s="8"/>
      <c r="Y192" s="8"/>
    </row>
    <row r="193" spans="2:41" outlineLevel="2" x14ac:dyDescent="0.2">
      <c r="O193" s="8"/>
      <c r="P193" s="8"/>
      <c r="Q193" s="8"/>
      <c r="R193" s="8"/>
      <c r="S193" s="8"/>
      <c r="T193" s="8"/>
      <c r="U193" s="8"/>
      <c r="V193" s="8"/>
      <c r="W193" s="8"/>
      <c r="X193" s="8"/>
      <c r="Y193" s="8"/>
    </row>
    <row r="194" spans="2:41" ht="17" outlineLevel="2" thickBot="1" x14ac:dyDescent="0.25">
      <c r="L194"/>
      <c r="M194"/>
      <c r="N194"/>
      <c r="O194"/>
      <c r="P194"/>
      <c r="Q194" s="8"/>
      <c r="R194" s="8"/>
      <c r="S194" s="8"/>
      <c r="T194" s="8"/>
      <c r="U194" s="8"/>
      <c r="V194" s="8"/>
      <c r="W194" s="8"/>
      <c r="X194" s="8"/>
      <c r="Y194" s="8"/>
    </row>
    <row r="195" spans="2:41" ht="20" outlineLevel="2" x14ac:dyDescent="0.2">
      <c r="B195" s="1" t="s">
        <v>126</v>
      </c>
      <c r="C195" s="1227"/>
      <c r="D195" s="1227"/>
      <c r="E195" s="1227"/>
      <c r="F195" s="1227"/>
      <c r="G195" s="1228"/>
      <c r="H195" s="888" t="s">
        <v>127</v>
      </c>
      <c r="I195" s="233"/>
      <c r="J195" s="234"/>
      <c r="K195" s="562"/>
      <c r="L195"/>
      <c r="M195"/>
      <c r="N195"/>
      <c r="O195"/>
      <c r="P195"/>
      <c r="Q195"/>
      <c r="R195"/>
      <c r="S195" s="8"/>
      <c r="T195" s="8"/>
      <c r="U195" s="8"/>
      <c r="V195" s="8"/>
      <c r="W195" s="8"/>
      <c r="X195" s="8"/>
      <c r="Y195" s="8"/>
    </row>
    <row r="196" spans="2:41" ht="18.75" customHeight="1" outlineLevel="2" thickBot="1" x14ac:dyDescent="0.3">
      <c r="B196" s="1229"/>
      <c r="C196" s="1230"/>
      <c r="D196" s="1230"/>
      <c r="E196" s="1230"/>
      <c r="F196" s="1230"/>
      <c r="G196" s="1231"/>
      <c r="H196" s="889" t="s">
        <v>128</v>
      </c>
      <c r="I196" s="235"/>
      <c r="J196" s="236"/>
      <c r="K196" s="26"/>
      <c r="L196"/>
      <c r="M196" s="32"/>
      <c r="N196"/>
      <c r="O196"/>
      <c r="P196"/>
      <c r="Q196"/>
      <c r="R196"/>
      <c r="S196" s="373"/>
      <c r="T196" s="8"/>
      <c r="U196" s="8"/>
      <c r="V196" s="8"/>
      <c r="W196" s="8"/>
      <c r="X196" s="8"/>
      <c r="Y196" s="8"/>
    </row>
    <row r="197" spans="2:41" s="8" customFormat="1" ht="17" outlineLevel="2" thickBot="1" x14ac:dyDescent="0.25">
      <c r="B197" s="904" t="s">
        <v>129</v>
      </c>
      <c r="C197" s="1145" t="str">
        <f>B2</f>
        <v>EV with NMC532-G (Power) Electrodes</v>
      </c>
      <c r="D197" s="905" t="str">
        <f t="shared" ref="D197:J197" si="3">D39</f>
        <v>Battery 1</v>
      </c>
      <c r="E197" s="905" t="str">
        <f t="shared" si="3"/>
        <v>Battery 2</v>
      </c>
      <c r="F197" s="905" t="str">
        <f t="shared" si="3"/>
        <v>Battery 3</v>
      </c>
      <c r="G197" s="905" t="str">
        <f t="shared" si="3"/>
        <v>Battery 4</v>
      </c>
      <c r="H197" s="905" t="str">
        <f t="shared" si="3"/>
        <v>Battery 5</v>
      </c>
      <c r="I197" s="905" t="str">
        <f t="shared" si="3"/>
        <v>Battery 6</v>
      </c>
      <c r="J197" s="906" t="str">
        <f t="shared" si="3"/>
        <v>Battery 7</v>
      </c>
      <c r="S197" s="890"/>
      <c r="U197" s="891"/>
    </row>
    <row r="198" spans="2:41" s="8" customFormat="1" outlineLevel="2" x14ac:dyDescent="0.2">
      <c r="B198" s="5"/>
      <c r="C198" s="6" t="s">
        <v>130</v>
      </c>
      <c r="D198" s="912" t="str">
        <f t="shared" ref="D198:J199" ca="1" si="4">D139</f>
        <v>None</v>
      </c>
      <c r="E198" s="912" t="str">
        <f t="shared" ca="1" si="4"/>
        <v>None</v>
      </c>
      <c r="F198" s="912" t="str">
        <f t="shared" ca="1" si="4"/>
        <v>None</v>
      </c>
      <c r="G198" s="912" t="str">
        <f t="shared" ca="1" si="4"/>
        <v>None</v>
      </c>
      <c r="H198" s="912" t="str">
        <f t="shared" ca="1" si="4"/>
        <v>None</v>
      </c>
      <c r="I198" s="912" t="str">
        <f t="shared" ca="1" si="4"/>
        <v>None</v>
      </c>
      <c r="J198" s="912" t="str">
        <f t="shared" ca="1" si="4"/>
        <v>None</v>
      </c>
      <c r="U198" s="891"/>
    </row>
    <row r="199" spans="2:41" s="8" customFormat="1" outlineLevel="2" x14ac:dyDescent="0.2">
      <c r="B199" s="5"/>
      <c r="C199" s="6" t="s">
        <v>131</v>
      </c>
      <c r="D199" s="912" t="str">
        <f t="shared" ca="1" si="4"/>
        <v>10</v>
      </c>
      <c r="E199" s="912" t="str">
        <f t="shared" ca="1" si="4"/>
        <v>10</v>
      </c>
      <c r="F199" s="912" t="str">
        <f t="shared" ca="1" si="4"/>
        <v>10</v>
      </c>
      <c r="G199" s="912" t="str">
        <f t="shared" ca="1" si="4"/>
        <v>10</v>
      </c>
      <c r="H199" s="912" t="str">
        <f t="shared" ca="1" si="4"/>
        <v>10</v>
      </c>
      <c r="I199" s="912" t="str">
        <f t="shared" ca="1" si="4"/>
        <v>10</v>
      </c>
      <c r="J199" s="912" t="str">
        <f t="shared" ca="1" si="4"/>
        <v>10</v>
      </c>
      <c r="U199" s="891"/>
    </row>
    <row r="200" spans="2:41" s="8" customFormat="1" outlineLevel="2" x14ac:dyDescent="0.2">
      <c r="B200" s="5"/>
      <c r="C200" s="6" t="s">
        <v>2430</v>
      </c>
      <c r="D200" s="912">
        <v>1</v>
      </c>
      <c r="E200" s="912">
        <v>2</v>
      </c>
      <c r="F200" s="912">
        <v>3</v>
      </c>
      <c r="G200" s="912">
        <v>4</v>
      </c>
      <c r="H200" s="912">
        <v>5</v>
      </c>
      <c r="I200" s="912">
        <v>6</v>
      </c>
      <c r="J200" s="912">
        <v>7</v>
      </c>
      <c r="U200" s="891"/>
    </row>
    <row r="201" spans="2:41" ht="17.25" customHeight="1" outlineLevel="2" x14ac:dyDescent="0.2">
      <c r="B201" s="27">
        <v>1</v>
      </c>
      <c r="C201" s="907" t="str">
        <f>IFERROR(INDEX('Summary of Results'!$B:$B, MATCH(B201, 'Summary of Results'!$A:$A, 0)), NA())</f>
        <v>Battery system total energy, kWh</v>
      </c>
      <c r="D201" s="908">
        <f ca="1">IF(IFERROR(IF($C$155 = "Absolute", INDEX('Summary of Results'!G:G, MATCH($B201, 'Summary of Results'!$A:$A, 0)), (INDEX('Summary of Results'!G:G, MATCH($B201, 'Summary of Results'!$A:$A, 0))/INDEX('Summary of Results'!$G:$G, MATCH($B201, 'Summary of Results'!$A:$A, 0)) - 1)*100), NA()) = "", "", IFERROR(IF($C$155 = "Absolute", INDEX('Summary of Results'!G:G, MATCH($B201, 'Summary of Results'!$A:$A, 0)), (INDEX('Summary of Results'!G:G, MATCH($B201, 'Summary of Results'!$A:$A, 0))/INDEX('Summary of Results'!$G:$G, MATCH($B201, 'Summary of Results'!$A:$A, 0)) - 1)*100), NA()))</f>
        <v>100.00000000006933</v>
      </c>
      <c r="E201" s="908">
        <f ca="1">IF(IFERROR(IF($C$155 = "Absolute", INDEX('Summary of Results'!H:H, MATCH($B201, 'Summary of Results'!$A:$A, 0)), (INDEX('Summary of Results'!H:H, MATCH($B201, 'Summary of Results'!$A:$A, 0))/INDEX('Summary of Results'!$G:$G, MATCH($B201, 'Summary of Results'!$A:$A, 0)) - 1)*100), NA()) = "", "", IFERROR(IF($C$155 = "Absolute", INDEX('Summary of Results'!H:H, MATCH($B201, 'Summary of Results'!$A:$A, 0)), (INDEX('Summary of Results'!H:H, MATCH($B201, 'Summary of Results'!$A:$A, 0))/INDEX('Summary of Results'!$G:$G, MATCH($B201, 'Summary of Results'!$A:$A, 0)) - 1)*100), NA()))</f>
        <v>100.00000000006933</v>
      </c>
      <c r="F201" s="908">
        <f ca="1">IF(IFERROR(IF($C$155 = "Absolute", INDEX('Summary of Results'!I:I, MATCH($B201, 'Summary of Results'!$A:$A, 0)), (INDEX('Summary of Results'!I:I, MATCH($B201, 'Summary of Results'!$A:$A, 0))/INDEX('Summary of Results'!$G:$G, MATCH($B201, 'Summary of Results'!$A:$A, 0)) - 1)*100), NA()) = "", "", IFERROR(IF($C$155 = "Absolute", INDEX('Summary of Results'!I:I, MATCH($B201, 'Summary of Results'!$A:$A, 0)), (INDEX('Summary of Results'!I:I, MATCH($B201, 'Summary of Results'!$A:$A, 0))/INDEX('Summary of Results'!$G:$G, MATCH($B201, 'Summary of Results'!$A:$A, 0)) - 1)*100), NA()))</f>
        <v>100.00000000006933</v>
      </c>
      <c r="G201" s="908">
        <f ca="1">IF(IFERROR(IF($C$155 = "Absolute", INDEX('Summary of Results'!J:J, MATCH($B201, 'Summary of Results'!$A:$A, 0)), (INDEX('Summary of Results'!J:J, MATCH($B201, 'Summary of Results'!$A:$A, 0))/INDEX('Summary of Results'!$G:$G, MATCH($B201, 'Summary of Results'!$A:$A, 0)) - 1)*100), NA()) = "", "", IFERROR(IF($C$155 = "Absolute", INDEX('Summary of Results'!J:J, MATCH($B201, 'Summary of Results'!$A:$A, 0)), (INDEX('Summary of Results'!J:J, MATCH($B201, 'Summary of Results'!$A:$A, 0))/INDEX('Summary of Results'!$G:$G, MATCH($B201, 'Summary of Results'!$A:$A, 0)) - 1)*100), NA()))</f>
        <v>100.00000000006933</v>
      </c>
      <c r="H201" s="908">
        <f ca="1">IF(IFERROR(IF($C$155 = "Absolute", INDEX('Summary of Results'!K:K, MATCH($B201, 'Summary of Results'!$A:$A, 0)), (INDEX('Summary of Results'!K:K, MATCH($B201, 'Summary of Results'!$A:$A, 0))/INDEX('Summary of Results'!$G:$G, MATCH($B201, 'Summary of Results'!$A:$A, 0)) - 1)*100), NA()) = "", "", IFERROR(IF($C$155 = "Absolute", INDEX('Summary of Results'!K:K, MATCH($B201, 'Summary of Results'!$A:$A, 0)), (INDEX('Summary of Results'!K:K, MATCH($B201, 'Summary of Results'!$A:$A, 0))/INDEX('Summary of Results'!$G:$G, MATCH($B201, 'Summary of Results'!$A:$A, 0)) - 1)*100), NA()))</f>
        <v>100.00000000006933</v>
      </c>
      <c r="I201" s="908">
        <f ca="1">IF(IFERROR(IF($C$155 = "Absolute", INDEX('Summary of Results'!L:L, MATCH($B201, 'Summary of Results'!$A:$A, 0)), (INDEX('Summary of Results'!L:L, MATCH($B201, 'Summary of Results'!$A:$A, 0))/INDEX('Summary of Results'!$G:$G, MATCH($B201, 'Summary of Results'!$A:$A, 0)) - 1)*100), NA()) = "", "", IFERROR(IF($C$155 = "Absolute", INDEX('Summary of Results'!L:L, MATCH($B201, 'Summary of Results'!$A:$A, 0)), (INDEX('Summary of Results'!L:L, MATCH($B201, 'Summary of Results'!$A:$A, 0))/INDEX('Summary of Results'!$G:$G, MATCH($B201, 'Summary of Results'!$A:$A, 0)) - 1)*100), NA()))</f>
        <v>100.00000000006933</v>
      </c>
      <c r="J201" s="908">
        <f ca="1">IF(IFERROR(IF($C$155 = "Absolute", INDEX('Summary of Results'!M:M, MATCH($B201, 'Summary of Results'!$A:$A, 0)), (INDEX('Summary of Results'!M:M, MATCH($B201, 'Summary of Results'!$A:$A, 0))/INDEX('Summary of Results'!$G:$G, MATCH($B201, 'Summary of Results'!$A:$A, 0)) - 1)*100), NA()) = "", "", IFERROR(IF($C$155 = "Absolute", INDEX('Summary of Results'!M:M, MATCH($B201, 'Summary of Results'!$A:$A, 0)), (INDEX('Summary of Results'!M:M, MATCH($B201, 'Summary of Results'!$A:$A, 0))/INDEX('Summary of Results'!$G:$G, MATCH($B201, 'Summary of Results'!$A:$A, 0)) - 1)*100), NA()))</f>
        <v>100.00000000006933</v>
      </c>
      <c r="K201" s="562"/>
      <c r="L201"/>
      <c r="M201" s="8"/>
      <c r="N201"/>
      <c r="O201"/>
      <c r="P201"/>
      <c r="Q201"/>
      <c r="R201"/>
      <c r="S201" s="8"/>
      <c r="T201" s="8"/>
      <c r="U201" s="232"/>
      <c r="V201" s="1078"/>
      <c r="W201" s="1078"/>
      <c r="X201" s="1078"/>
      <c r="Y201" s="1078"/>
      <c r="Z201" s="1078"/>
      <c r="AA201" s="1078"/>
      <c r="AB201" s="1078"/>
    </row>
    <row r="202" spans="2:41" ht="15" customHeight="1" outlineLevel="2" x14ac:dyDescent="0.2">
      <c r="B202" s="27">
        <v>2</v>
      </c>
      <c r="C202" s="907" t="str">
        <f>IFERROR(INDEX('Summary of Results'!$B:$B, MATCH(B202, 'Summary of Results'!$A:$A, 0)), NA())</f>
        <v>Battery system capacity, Ah</v>
      </c>
      <c r="D202" s="908">
        <f ca="1">IF(IFERROR(IF($C$155 = "Absolute", INDEX('Summary of Results'!G:G, MATCH($B202, 'Summary of Results'!$A:$A, 0)), (INDEX('Summary of Results'!G:G, MATCH($B202, 'Summary of Results'!$A:$A, 0))/INDEX('Summary of Results'!$G:$G, MATCH($B202, 'Summary of Results'!$A:$A, 0)) - 1)*100), NA()) = "", "", IFERROR(IF($C$155 = "Absolute", INDEX('Summary of Results'!G:G, MATCH($B202, 'Summary of Results'!$A:$A, 0)), (INDEX('Summary of Results'!G:G, MATCH($B202, 'Summary of Results'!$A:$A, 0))/INDEX('Summary of Results'!$G:$G, MATCH($B202, 'Summary of Results'!$A:$A, 0)) - 1)*100), NA()))</f>
        <v>271.75885298489277</v>
      </c>
      <c r="E202" s="908">
        <f ca="1">IF(IFERROR(IF($C$155 = "Absolute", INDEX('Summary of Results'!H:H, MATCH($B202, 'Summary of Results'!$A:$A, 0)), (INDEX('Summary of Results'!H:H, MATCH($B202, 'Summary of Results'!$A:$A, 0))/INDEX('Summary of Results'!$G:$G, MATCH($B202, 'Summary of Results'!$A:$A, 0)) - 1)*100), NA()) = "", "", IFERROR(IF($C$155 = "Absolute", INDEX('Summary of Results'!H:H, MATCH($B202, 'Summary of Results'!$A:$A, 0)), (INDEX('Summary of Results'!H:H, MATCH($B202, 'Summary of Results'!$A:$A, 0))/INDEX('Summary of Results'!$G:$G, MATCH($B202, 'Summary of Results'!$A:$A, 0)) - 1)*100), NA()))</f>
        <v>271.75885298489277</v>
      </c>
      <c r="F202" s="908">
        <f ca="1">IF(IFERROR(IF($C$155 = "Absolute", INDEX('Summary of Results'!I:I, MATCH($B202, 'Summary of Results'!$A:$A, 0)), (INDEX('Summary of Results'!I:I, MATCH($B202, 'Summary of Results'!$A:$A, 0))/INDEX('Summary of Results'!$G:$G, MATCH($B202, 'Summary of Results'!$A:$A, 0)) - 1)*100), NA()) = "", "", IFERROR(IF($C$155 = "Absolute", INDEX('Summary of Results'!I:I, MATCH($B202, 'Summary of Results'!$A:$A, 0)), (INDEX('Summary of Results'!I:I, MATCH($B202, 'Summary of Results'!$A:$A, 0))/INDEX('Summary of Results'!$G:$G, MATCH($B202, 'Summary of Results'!$A:$A, 0)) - 1)*100), NA()))</f>
        <v>271.75885298489277</v>
      </c>
      <c r="G202" s="908">
        <f ca="1">IF(IFERROR(IF($C$155 = "Absolute", INDEX('Summary of Results'!J:J, MATCH($B202, 'Summary of Results'!$A:$A, 0)), (INDEX('Summary of Results'!J:J, MATCH($B202, 'Summary of Results'!$A:$A, 0))/INDEX('Summary of Results'!$G:$G, MATCH($B202, 'Summary of Results'!$A:$A, 0)) - 1)*100), NA()) = "", "", IFERROR(IF($C$155 = "Absolute", INDEX('Summary of Results'!J:J, MATCH($B202, 'Summary of Results'!$A:$A, 0)), (INDEX('Summary of Results'!J:J, MATCH($B202, 'Summary of Results'!$A:$A, 0))/INDEX('Summary of Results'!$G:$G, MATCH($B202, 'Summary of Results'!$A:$A, 0)) - 1)*100), NA()))</f>
        <v>271.75885298489277</v>
      </c>
      <c r="H202" s="908">
        <f ca="1">IF(IFERROR(IF($C$155 = "Absolute", INDEX('Summary of Results'!K:K, MATCH($B202, 'Summary of Results'!$A:$A, 0)), (INDEX('Summary of Results'!K:K, MATCH($B202, 'Summary of Results'!$A:$A, 0))/INDEX('Summary of Results'!$G:$G, MATCH($B202, 'Summary of Results'!$A:$A, 0)) - 1)*100), NA()) = "", "", IFERROR(IF($C$155 = "Absolute", INDEX('Summary of Results'!K:K, MATCH($B202, 'Summary of Results'!$A:$A, 0)), (INDEX('Summary of Results'!K:K, MATCH($B202, 'Summary of Results'!$A:$A, 0))/INDEX('Summary of Results'!$G:$G, MATCH($B202, 'Summary of Results'!$A:$A, 0)) - 1)*100), NA()))</f>
        <v>271.75885298489277</v>
      </c>
      <c r="I202" s="908">
        <f ca="1">IF(IFERROR(IF($C$155 = "Absolute", INDEX('Summary of Results'!L:L, MATCH($B202, 'Summary of Results'!$A:$A, 0)), (INDEX('Summary of Results'!L:L, MATCH($B202, 'Summary of Results'!$A:$A, 0))/INDEX('Summary of Results'!$G:$G, MATCH($B202, 'Summary of Results'!$A:$A, 0)) - 1)*100), NA()) = "", "", IFERROR(IF($C$155 = "Absolute", INDEX('Summary of Results'!L:L, MATCH($B202, 'Summary of Results'!$A:$A, 0)), (INDEX('Summary of Results'!L:L, MATCH($B202, 'Summary of Results'!$A:$A, 0))/INDEX('Summary of Results'!$G:$G, MATCH($B202, 'Summary of Results'!$A:$A, 0)) - 1)*100), NA()))</f>
        <v>271.75885298489277</v>
      </c>
      <c r="J202" s="908">
        <f ca="1">IF(IFERROR(IF($C$155 = "Absolute", INDEX('Summary of Results'!M:M, MATCH($B202, 'Summary of Results'!$A:$A, 0)), (INDEX('Summary of Results'!M:M, MATCH($B202, 'Summary of Results'!$A:$A, 0))/INDEX('Summary of Results'!$G:$G, MATCH($B202, 'Summary of Results'!$A:$A, 0)) - 1)*100), NA()) = "", "", IFERROR(IF($C$155 = "Absolute", INDEX('Summary of Results'!M:M, MATCH($B202, 'Summary of Results'!$A:$A, 0)), (INDEX('Summary of Results'!M:M, MATCH($B202, 'Summary of Results'!$A:$A, 0))/INDEX('Summary of Results'!$G:$G, MATCH($B202, 'Summary of Results'!$A:$A, 0)) - 1)*100), NA()))</f>
        <v>271.75885298489277</v>
      </c>
      <c r="K202"/>
      <c r="L202"/>
      <c r="M202" s="8"/>
      <c r="N202"/>
      <c r="O202"/>
      <c r="P202"/>
      <c r="Q202"/>
      <c r="R202"/>
      <c r="S202" s="8"/>
      <c r="T202" s="8"/>
      <c r="U202" s="232"/>
      <c r="V202" s="1078"/>
      <c r="W202" s="1078"/>
      <c r="X202" s="1078"/>
      <c r="Y202" s="1078"/>
      <c r="Z202" s="1078"/>
      <c r="AA202" s="1078"/>
      <c r="AB202" s="1078"/>
    </row>
    <row r="203" spans="2:41" ht="20" outlineLevel="2" x14ac:dyDescent="0.2">
      <c r="B203" s="27">
        <v>3</v>
      </c>
      <c r="C203" s="907" t="str">
        <f>IFERROR(INDEX('Summary of Results'!$B:$B, MATCH(B203, 'Summary of Results'!$A:$A, 0)), NA())</f>
        <v>Battery system rated power, kW</v>
      </c>
      <c r="D203" s="908">
        <f ca="1">IF(IFERROR(IF($C$155 = "Absolute", INDEX('Summary of Results'!G:G, MATCH($B203, 'Summary of Results'!$A:$A, 0)), (INDEX('Summary of Results'!G:G, MATCH($B203, 'Summary of Results'!$A:$A, 0))/INDEX('Summary of Results'!$G:$G, MATCH($B203, 'Summary of Results'!$A:$A, 0)) - 1)*100), NA()) = "", "", IFERROR(IF($C$155 = "Absolute", INDEX('Summary of Results'!G:G, MATCH($B203, 'Summary of Results'!$A:$A, 0)), (INDEX('Summary of Results'!G:G, MATCH($B203, 'Summary of Results'!$A:$A, 0))/INDEX('Summary of Results'!$G:$G, MATCH($B203, 'Summary of Results'!$A:$A, 0)) - 1)*100), NA()))</f>
        <v>299.99999999985272</v>
      </c>
      <c r="E203" s="908">
        <f ca="1">IF(IFERROR(IF($C$155 = "Absolute", INDEX('Summary of Results'!H:H, MATCH($B203, 'Summary of Results'!$A:$A, 0)), (INDEX('Summary of Results'!H:H, MATCH($B203, 'Summary of Results'!$A:$A, 0))/INDEX('Summary of Results'!$G:$G, MATCH($B203, 'Summary of Results'!$A:$A, 0)) - 1)*100), NA()) = "", "", IFERROR(IF($C$155 = "Absolute", INDEX('Summary of Results'!H:H, MATCH($B203, 'Summary of Results'!$A:$A, 0)), (INDEX('Summary of Results'!H:H, MATCH($B203, 'Summary of Results'!$A:$A, 0))/INDEX('Summary of Results'!$G:$G, MATCH($B203, 'Summary of Results'!$A:$A, 0)) - 1)*100), NA()))</f>
        <v>299.99999999985272</v>
      </c>
      <c r="F203" s="908">
        <f ca="1">IF(IFERROR(IF($C$155 = "Absolute", INDEX('Summary of Results'!I:I, MATCH($B203, 'Summary of Results'!$A:$A, 0)), (INDEX('Summary of Results'!I:I, MATCH($B203, 'Summary of Results'!$A:$A, 0))/INDEX('Summary of Results'!$G:$G, MATCH($B203, 'Summary of Results'!$A:$A, 0)) - 1)*100), NA()) = "", "", IFERROR(IF($C$155 = "Absolute", INDEX('Summary of Results'!I:I, MATCH($B203, 'Summary of Results'!$A:$A, 0)), (INDEX('Summary of Results'!I:I, MATCH($B203, 'Summary of Results'!$A:$A, 0))/INDEX('Summary of Results'!$G:$G, MATCH($B203, 'Summary of Results'!$A:$A, 0)) - 1)*100), NA()))</f>
        <v>299.99999999985272</v>
      </c>
      <c r="G203" s="908">
        <f ca="1">IF(IFERROR(IF($C$155 = "Absolute", INDEX('Summary of Results'!J:J, MATCH($B203, 'Summary of Results'!$A:$A, 0)), (INDEX('Summary of Results'!J:J, MATCH($B203, 'Summary of Results'!$A:$A, 0))/INDEX('Summary of Results'!$G:$G, MATCH($B203, 'Summary of Results'!$A:$A, 0)) - 1)*100), NA()) = "", "", IFERROR(IF($C$155 = "Absolute", INDEX('Summary of Results'!J:J, MATCH($B203, 'Summary of Results'!$A:$A, 0)), (INDEX('Summary of Results'!J:J, MATCH($B203, 'Summary of Results'!$A:$A, 0))/INDEX('Summary of Results'!$G:$G, MATCH($B203, 'Summary of Results'!$A:$A, 0)) - 1)*100), NA()))</f>
        <v>299.99999999985272</v>
      </c>
      <c r="H203" s="908">
        <f ca="1">IF(IFERROR(IF($C$155 = "Absolute", INDEX('Summary of Results'!K:K, MATCH($B203, 'Summary of Results'!$A:$A, 0)), (INDEX('Summary of Results'!K:K, MATCH($B203, 'Summary of Results'!$A:$A, 0))/INDEX('Summary of Results'!$G:$G, MATCH($B203, 'Summary of Results'!$A:$A, 0)) - 1)*100), NA()) = "", "", IFERROR(IF($C$155 = "Absolute", INDEX('Summary of Results'!K:K, MATCH($B203, 'Summary of Results'!$A:$A, 0)), (INDEX('Summary of Results'!K:K, MATCH($B203, 'Summary of Results'!$A:$A, 0))/INDEX('Summary of Results'!$G:$G, MATCH($B203, 'Summary of Results'!$A:$A, 0)) - 1)*100), NA()))</f>
        <v>299.99999999985272</v>
      </c>
      <c r="I203" s="908">
        <f ca="1">IF(IFERROR(IF($C$155 = "Absolute", INDEX('Summary of Results'!L:L, MATCH($B203, 'Summary of Results'!$A:$A, 0)), (INDEX('Summary of Results'!L:L, MATCH($B203, 'Summary of Results'!$A:$A, 0))/INDEX('Summary of Results'!$G:$G, MATCH($B203, 'Summary of Results'!$A:$A, 0)) - 1)*100), NA()) = "", "", IFERROR(IF($C$155 = "Absolute", INDEX('Summary of Results'!L:L, MATCH($B203, 'Summary of Results'!$A:$A, 0)), (INDEX('Summary of Results'!L:L, MATCH($B203, 'Summary of Results'!$A:$A, 0))/INDEX('Summary of Results'!$G:$G, MATCH($B203, 'Summary of Results'!$A:$A, 0)) - 1)*100), NA()))</f>
        <v>299.99999999985272</v>
      </c>
      <c r="J203" s="908">
        <f ca="1">IF(IFERROR(IF($C$155 = "Absolute", INDEX('Summary of Results'!M:M, MATCH($B203, 'Summary of Results'!$A:$A, 0)), (INDEX('Summary of Results'!M:M, MATCH($B203, 'Summary of Results'!$A:$A, 0))/INDEX('Summary of Results'!$G:$G, MATCH($B203, 'Summary of Results'!$A:$A, 0)) - 1)*100), NA()) = "", "", IFERROR(IF($C$155 = "Absolute", INDEX('Summary of Results'!M:M, MATCH($B203, 'Summary of Results'!$A:$A, 0)), (INDEX('Summary of Results'!M:M, MATCH($B203, 'Summary of Results'!$A:$A, 0))/INDEX('Summary of Results'!$G:$G, MATCH($B203, 'Summary of Results'!$A:$A, 0)) - 1)*100), NA()))</f>
        <v>299.99999999985272</v>
      </c>
      <c r="K203"/>
      <c r="L203"/>
      <c r="M203" s="8"/>
      <c r="N203"/>
      <c r="O203"/>
      <c r="P203"/>
      <c r="Q203"/>
      <c r="R203"/>
      <c r="S203" s="8"/>
      <c r="T203" s="8"/>
      <c r="U203" s="232"/>
      <c r="V203" s="1078"/>
      <c r="W203" s="1078"/>
      <c r="X203" s="1078"/>
      <c r="Y203" s="1078"/>
      <c r="Z203" s="1078"/>
      <c r="AA203" s="1078"/>
      <c r="AB203" s="1078"/>
    </row>
    <row r="204" spans="2:41" outlineLevel="2" x14ac:dyDescent="0.2">
      <c r="B204" s="27">
        <v>4</v>
      </c>
      <c r="C204" s="907" t="str">
        <f>IFERROR(INDEX('Summary of Results'!$B:$B, MATCH(B204, 'Summary of Results'!$A:$A, 0)), NA())</f>
        <v>Battery system nominal operating voltage, V</v>
      </c>
      <c r="D204" s="908">
        <f ca="1">IF(IFERROR(IF($C$155 = "Absolute", INDEX('Summary of Results'!G:G, MATCH($B204, 'Summary of Results'!$A:$A, 0)), (INDEX('Summary of Results'!G:G, MATCH($B204, 'Summary of Results'!$A:$A, 0))/INDEX('Summary of Results'!$G:$G, MATCH($B204, 'Summary of Results'!$A:$A, 0)) - 1)*100), NA()) = "", "", IFERROR(IF($C$155 = "Absolute", INDEX('Summary of Results'!G:G, MATCH($B204, 'Summary of Results'!$A:$A, 0)), (INDEX('Summary of Results'!G:G, MATCH($B204, 'Summary of Results'!$A:$A, 0))/INDEX('Summary of Results'!$G:$G, MATCH($B204, 'Summary of Results'!$A:$A, 0)) - 1)*100), NA()))</f>
        <v>367.97329287237017</v>
      </c>
      <c r="E204" s="908">
        <f ca="1">IF(IFERROR(IF($C$155 = "Absolute", INDEX('Summary of Results'!H:H, MATCH($B204, 'Summary of Results'!$A:$A, 0)), (INDEX('Summary of Results'!H:H, MATCH($B204, 'Summary of Results'!$A:$A, 0))/INDEX('Summary of Results'!$G:$G, MATCH($B204, 'Summary of Results'!$A:$A, 0)) - 1)*100), NA()) = "", "", IFERROR(IF($C$155 = "Absolute", INDEX('Summary of Results'!H:H, MATCH($B204, 'Summary of Results'!$A:$A, 0)), (INDEX('Summary of Results'!H:H, MATCH($B204, 'Summary of Results'!$A:$A, 0))/INDEX('Summary of Results'!$G:$G, MATCH($B204, 'Summary of Results'!$A:$A, 0)) - 1)*100), NA()))</f>
        <v>367.97329287237017</v>
      </c>
      <c r="F204" s="908">
        <f ca="1">IF(IFERROR(IF($C$155 = "Absolute", INDEX('Summary of Results'!I:I, MATCH($B204, 'Summary of Results'!$A:$A, 0)), (INDEX('Summary of Results'!I:I, MATCH($B204, 'Summary of Results'!$A:$A, 0))/INDEX('Summary of Results'!$G:$G, MATCH($B204, 'Summary of Results'!$A:$A, 0)) - 1)*100), NA()) = "", "", IFERROR(IF($C$155 = "Absolute", INDEX('Summary of Results'!I:I, MATCH($B204, 'Summary of Results'!$A:$A, 0)), (INDEX('Summary of Results'!I:I, MATCH($B204, 'Summary of Results'!$A:$A, 0))/INDEX('Summary of Results'!$G:$G, MATCH($B204, 'Summary of Results'!$A:$A, 0)) - 1)*100), NA()))</f>
        <v>367.97329287237017</v>
      </c>
      <c r="G204" s="908">
        <f ca="1">IF(IFERROR(IF($C$155 = "Absolute", INDEX('Summary of Results'!J:J, MATCH($B204, 'Summary of Results'!$A:$A, 0)), (INDEX('Summary of Results'!J:J, MATCH($B204, 'Summary of Results'!$A:$A, 0))/INDEX('Summary of Results'!$G:$G, MATCH($B204, 'Summary of Results'!$A:$A, 0)) - 1)*100), NA()) = "", "", IFERROR(IF($C$155 = "Absolute", INDEX('Summary of Results'!J:J, MATCH($B204, 'Summary of Results'!$A:$A, 0)), (INDEX('Summary of Results'!J:J, MATCH($B204, 'Summary of Results'!$A:$A, 0))/INDEX('Summary of Results'!$G:$G, MATCH($B204, 'Summary of Results'!$A:$A, 0)) - 1)*100), NA()))</f>
        <v>367.97329287237017</v>
      </c>
      <c r="H204" s="908">
        <f ca="1">IF(IFERROR(IF($C$155 = "Absolute", INDEX('Summary of Results'!K:K, MATCH($B204, 'Summary of Results'!$A:$A, 0)), (INDEX('Summary of Results'!K:K, MATCH($B204, 'Summary of Results'!$A:$A, 0))/INDEX('Summary of Results'!$G:$G, MATCH($B204, 'Summary of Results'!$A:$A, 0)) - 1)*100), NA()) = "", "", IFERROR(IF($C$155 = "Absolute", INDEX('Summary of Results'!K:K, MATCH($B204, 'Summary of Results'!$A:$A, 0)), (INDEX('Summary of Results'!K:K, MATCH($B204, 'Summary of Results'!$A:$A, 0))/INDEX('Summary of Results'!$G:$G, MATCH($B204, 'Summary of Results'!$A:$A, 0)) - 1)*100), NA()))</f>
        <v>367.97329287237017</v>
      </c>
      <c r="I204" s="908">
        <f ca="1">IF(IFERROR(IF($C$155 = "Absolute", INDEX('Summary of Results'!L:L, MATCH($B204, 'Summary of Results'!$A:$A, 0)), (INDEX('Summary of Results'!L:L, MATCH($B204, 'Summary of Results'!$A:$A, 0))/INDEX('Summary of Results'!$G:$G, MATCH($B204, 'Summary of Results'!$A:$A, 0)) - 1)*100), NA()) = "", "", IFERROR(IF($C$155 = "Absolute", INDEX('Summary of Results'!L:L, MATCH($B204, 'Summary of Results'!$A:$A, 0)), (INDEX('Summary of Results'!L:L, MATCH($B204, 'Summary of Results'!$A:$A, 0))/INDEX('Summary of Results'!$G:$G, MATCH($B204, 'Summary of Results'!$A:$A, 0)) - 1)*100), NA()))</f>
        <v>367.97329287237017</v>
      </c>
      <c r="J204" s="908">
        <f ca="1">IF(IFERROR(IF($C$155 = "Absolute", INDEX('Summary of Results'!M:M, MATCH($B204, 'Summary of Results'!$A:$A, 0)), (INDEX('Summary of Results'!M:M, MATCH($B204, 'Summary of Results'!$A:$A, 0))/INDEX('Summary of Results'!$G:$G, MATCH($B204, 'Summary of Results'!$A:$A, 0)) - 1)*100), NA()) = "", "", IFERROR(IF($C$155 = "Absolute", INDEX('Summary of Results'!M:M, MATCH($B204, 'Summary of Results'!$A:$A, 0)), (INDEX('Summary of Results'!M:M, MATCH($B204, 'Summary of Results'!$A:$A, 0))/INDEX('Summary of Results'!$G:$G, MATCH($B204, 'Summary of Results'!$A:$A, 0)) - 1)*100), NA()))</f>
        <v>367.97329287237017</v>
      </c>
      <c r="K204"/>
      <c r="L204"/>
      <c r="M204" s="8"/>
      <c r="N204"/>
      <c r="O204"/>
      <c r="P204"/>
      <c r="Q204"/>
      <c r="R204"/>
      <c r="S204"/>
      <c r="T204"/>
      <c r="U204"/>
      <c r="V204" s="1078"/>
      <c r="W204" s="1078"/>
      <c r="X204" s="1078"/>
      <c r="Y204" s="1078"/>
      <c r="Z204" s="1078"/>
      <c r="AA204" s="1078"/>
      <c r="AB204" s="1078"/>
      <c r="AC204"/>
      <c r="AD204"/>
      <c r="AE204"/>
      <c r="AF204"/>
      <c r="AG204"/>
      <c r="AH204"/>
      <c r="AI204"/>
      <c r="AJ204"/>
      <c r="AK204"/>
      <c r="AL204"/>
      <c r="AM204"/>
      <c r="AN204"/>
      <c r="AO204"/>
    </row>
    <row r="205" spans="2:41" outlineLevel="2" x14ac:dyDescent="0.2">
      <c r="B205" s="27">
        <v>5</v>
      </c>
      <c r="C205" s="907" t="str">
        <f>IFERROR(INDEX('Summary of Results'!$B:$B, MATCH(B205, 'Summary of Results'!$A:$A, 0)), NA())</f>
        <v>Pack power to energy ratio (with respect to rated power)</v>
      </c>
      <c r="D205" s="1209">
        <f ca="1">IF(IFERROR(IF($C$155 = "Absolute", INDEX('Summary of Results'!G:G, MATCH($B205, 'Summary of Results'!$A:$A, 0)), (INDEX('Summary of Results'!G:G, MATCH($B205, 'Summary of Results'!$A:$A, 0))/INDEX('Summary of Results'!$G:$G, MATCH($B205, 'Summary of Results'!$A:$A, 0)) - 1)*100), NA()) = "", "", IFERROR(IF($C$155 = "Absolute", INDEX('Summary of Results'!G:G, MATCH($B205, 'Summary of Results'!$A:$A, 0)), (INDEX('Summary of Results'!G:G, MATCH($B205, 'Summary of Results'!$A:$A, 0))/INDEX('Summary of Results'!$G:$G, MATCH($B205, 'Summary of Results'!$A:$A, 0)) - 1)*100), NA()))</f>
        <v>2.9999999999979949</v>
      </c>
      <c r="E205" s="1209">
        <f ca="1">IF(IFERROR(IF($C$155 = "Absolute", INDEX('Summary of Results'!H:H, MATCH($B205, 'Summary of Results'!$A:$A, 0)), (INDEX('Summary of Results'!H:H, MATCH($B205, 'Summary of Results'!$A:$A, 0))/INDEX('Summary of Results'!$G:$G, MATCH($B205, 'Summary of Results'!$A:$A, 0)) - 1)*100), NA()) = "", "", IFERROR(IF($C$155 = "Absolute", INDEX('Summary of Results'!H:H, MATCH($B205, 'Summary of Results'!$A:$A, 0)), (INDEX('Summary of Results'!H:H, MATCH($B205, 'Summary of Results'!$A:$A, 0))/INDEX('Summary of Results'!$G:$G, MATCH($B205, 'Summary of Results'!$A:$A, 0)) - 1)*100), NA()))</f>
        <v>2.9999999999979949</v>
      </c>
      <c r="F205" s="1209">
        <f ca="1">IF(IFERROR(IF($C$155 = "Absolute", INDEX('Summary of Results'!I:I, MATCH($B205, 'Summary of Results'!$A:$A, 0)), (INDEX('Summary of Results'!I:I, MATCH($B205, 'Summary of Results'!$A:$A, 0))/INDEX('Summary of Results'!$G:$G, MATCH($B205, 'Summary of Results'!$A:$A, 0)) - 1)*100), NA()) = "", "", IFERROR(IF($C$155 = "Absolute", INDEX('Summary of Results'!I:I, MATCH($B205, 'Summary of Results'!$A:$A, 0)), (INDEX('Summary of Results'!I:I, MATCH($B205, 'Summary of Results'!$A:$A, 0))/INDEX('Summary of Results'!$G:$G, MATCH($B205, 'Summary of Results'!$A:$A, 0)) - 1)*100), NA()))</f>
        <v>2.9999999999979949</v>
      </c>
      <c r="G205" s="1209">
        <f ca="1">IF(IFERROR(IF($C$155 = "Absolute", INDEX('Summary of Results'!J:J, MATCH($B205, 'Summary of Results'!$A:$A, 0)), (INDEX('Summary of Results'!J:J, MATCH($B205, 'Summary of Results'!$A:$A, 0))/INDEX('Summary of Results'!$G:$G, MATCH($B205, 'Summary of Results'!$A:$A, 0)) - 1)*100), NA()) = "", "", IFERROR(IF($C$155 = "Absolute", INDEX('Summary of Results'!J:J, MATCH($B205, 'Summary of Results'!$A:$A, 0)), (INDEX('Summary of Results'!J:J, MATCH($B205, 'Summary of Results'!$A:$A, 0))/INDEX('Summary of Results'!$G:$G, MATCH($B205, 'Summary of Results'!$A:$A, 0)) - 1)*100), NA()))</f>
        <v>2.9999999999979949</v>
      </c>
      <c r="H205" s="1209">
        <f ca="1">IF(IFERROR(IF($C$155 = "Absolute", INDEX('Summary of Results'!K:K, MATCH($B205, 'Summary of Results'!$A:$A, 0)), (INDEX('Summary of Results'!K:K, MATCH($B205, 'Summary of Results'!$A:$A, 0))/INDEX('Summary of Results'!$G:$G, MATCH($B205, 'Summary of Results'!$A:$A, 0)) - 1)*100), NA()) = "", "", IFERROR(IF($C$155 = "Absolute", INDEX('Summary of Results'!K:K, MATCH($B205, 'Summary of Results'!$A:$A, 0)), (INDEX('Summary of Results'!K:K, MATCH($B205, 'Summary of Results'!$A:$A, 0))/INDEX('Summary of Results'!$G:$G, MATCH($B205, 'Summary of Results'!$A:$A, 0)) - 1)*100), NA()))</f>
        <v>2.9999999999979949</v>
      </c>
      <c r="I205" s="1209">
        <f ca="1">IF(IFERROR(IF($C$155 = "Absolute", INDEX('Summary of Results'!L:L, MATCH($B205, 'Summary of Results'!$A:$A, 0)), (INDEX('Summary of Results'!L:L, MATCH($B205, 'Summary of Results'!$A:$A, 0))/INDEX('Summary of Results'!$G:$G, MATCH($B205, 'Summary of Results'!$A:$A, 0)) - 1)*100), NA()) = "", "", IFERROR(IF($C$155 = "Absolute", INDEX('Summary of Results'!L:L, MATCH($B205, 'Summary of Results'!$A:$A, 0)), (INDEX('Summary of Results'!L:L, MATCH($B205, 'Summary of Results'!$A:$A, 0))/INDEX('Summary of Results'!$G:$G, MATCH($B205, 'Summary of Results'!$A:$A, 0)) - 1)*100), NA()))</f>
        <v>2.9999999999979949</v>
      </c>
      <c r="J205" s="1209">
        <f ca="1">IF(IFERROR(IF($C$155 = "Absolute", INDEX('Summary of Results'!M:M, MATCH($B205, 'Summary of Results'!$A:$A, 0)), (INDEX('Summary of Results'!M:M, MATCH($B205, 'Summary of Results'!$A:$A, 0))/INDEX('Summary of Results'!$G:$G, MATCH($B205, 'Summary of Results'!$A:$A, 0)) - 1)*100), NA()) = "", "", IFERROR(IF($C$155 = "Absolute", INDEX('Summary of Results'!M:M, MATCH($B205, 'Summary of Results'!$A:$A, 0)), (INDEX('Summary of Results'!M:M, MATCH($B205, 'Summary of Results'!$A:$A, 0))/INDEX('Summary of Results'!$G:$G, MATCH($B205, 'Summary of Results'!$A:$A, 0)) - 1)*100), NA()))</f>
        <v>2.9999999999979949</v>
      </c>
      <c r="K205"/>
      <c r="L205"/>
      <c r="M205" s="8"/>
      <c r="N205"/>
      <c r="O205"/>
      <c r="P205"/>
      <c r="Q205"/>
      <c r="R205"/>
      <c r="S205"/>
      <c r="T205"/>
      <c r="U205"/>
      <c r="V205" s="1078"/>
      <c r="W205" s="1078"/>
      <c r="X205" s="1078"/>
      <c r="Y205" s="1078"/>
      <c r="Z205" s="1078"/>
      <c r="AA205" s="1078"/>
      <c r="AB205" s="1078"/>
      <c r="AC205"/>
      <c r="AD205"/>
      <c r="AE205"/>
      <c r="AF205"/>
      <c r="AG205"/>
      <c r="AH205"/>
      <c r="AI205"/>
      <c r="AJ205"/>
      <c r="AK205"/>
      <c r="AL205"/>
      <c r="AM205"/>
      <c r="AN205"/>
      <c r="AO205"/>
    </row>
    <row r="206" spans="2:41" outlineLevel="2" x14ac:dyDescent="0.2">
      <c r="B206" s="27">
        <v>6</v>
      </c>
      <c r="C206" s="907" t="str">
        <f>IFERROR(INDEX('Summary of Results'!$B:$B, MATCH(B206, 'Summary of Results'!$A:$A, 0)), NA())</f>
        <v>Pack energy density, Wh/L</v>
      </c>
      <c r="D206" s="908">
        <f ca="1">IF(IFERROR(IF($C$155 = "Absolute", INDEX('Summary of Results'!G:G, MATCH($B206, 'Summary of Results'!$A:$A, 0)), (INDEX('Summary of Results'!G:G, MATCH($B206, 'Summary of Results'!$A:$A, 0))/INDEX('Summary of Results'!$G:$G, MATCH($B206, 'Summary of Results'!$A:$A, 0)) - 1)*100), NA()) = "", "", IFERROR(IF($C$155 = "Absolute", INDEX('Summary of Results'!G:G, MATCH($B206, 'Summary of Results'!$A:$A, 0)), (INDEX('Summary of Results'!G:G, MATCH($B206, 'Summary of Results'!$A:$A, 0))/INDEX('Summary of Results'!$G:$G, MATCH($B206, 'Summary of Results'!$A:$A, 0)) - 1)*100), NA()))</f>
        <v>287.68354785527009</v>
      </c>
      <c r="E206" s="908">
        <f ca="1">IF(IFERROR(IF($C$155 = "Absolute", INDEX('Summary of Results'!H:H, MATCH($B206, 'Summary of Results'!$A:$A, 0)), (INDEX('Summary of Results'!H:H, MATCH($B206, 'Summary of Results'!$A:$A, 0))/INDEX('Summary of Results'!$G:$G, MATCH($B206, 'Summary of Results'!$A:$A, 0)) - 1)*100), NA()) = "", "", IFERROR(IF($C$155 = "Absolute", INDEX('Summary of Results'!H:H, MATCH($B206, 'Summary of Results'!$A:$A, 0)), (INDEX('Summary of Results'!H:H, MATCH($B206, 'Summary of Results'!$A:$A, 0))/INDEX('Summary of Results'!$G:$G, MATCH($B206, 'Summary of Results'!$A:$A, 0)) - 1)*100), NA()))</f>
        <v>287.68354785527009</v>
      </c>
      <c r="F206" s="908">
        <f ca="1">IF(IFERROR(IF($C$155 = "Absolute", INDEX('Summary of Results'!I:I, MATCH($B206, 'Summary of Results'!$A:$A, 0)), (INDEX('Summary of Results'!I:I, MATCH($B206, 'Summary of Results'!$A:$A, 0))/INDEX('Summary of Results'!$G:$G, MATCH($B206, 'Summary of Results'!$A:$A, 0)) - 1)*100), NA()) = "", "", IFERROR(IF($C$155 = "Absolute", INDEX('Summary of Results'!I:I, MATCH($B206, 'Summary of Results'!$A:$A, 0)), (INDEX('Summary of Results'!I:I, MATCH($B206, 'Summary of Results'!$A:$A, 0))/INDEX('Summary of Results'!$G:$G, MATCH($B206, 'Summary of Results'!$A:$A, 0)) - 1)*100), NA()))</f>
        <v>287.68354785527009</v>
      </c>
      <c r="G206" s="908">
        <f ca="1">IF(IFERROR(IF($C$155 = "Absolute", INDEX('Summary of Results'!J:J, MATCH($B206, 'Summary of Results'!$A:$A, 0)), (INDEX('Summary of Results'!J:J, MATCH($B206, 'Summary of Results'!$A:$A, 0))/INDEX('Summary of Results'!$G:$G, MATCH($B206, 'Summary of Results'!$A:$A, 0)) - 1)*100), NA()) = "", "", IFERROR(IF($C$155 = "Absolute", INDEX('Summary of Results'!J:J, MATCH($B206, 'Summary of Results'!$A:$A, 0)), (INDEX('Summary of Results'!J:J, MATCH($B206, 'Summary of Results'!$A:$A, 0))/INDEX('Summary of Results'!$G:$G, MATCH($B206, 'Summary of Results'!$A:$A, 0)) - 1)*100), NA()))</f>
        <v>287.68354785527009</v>
      </c>
      <c r="H206" s="908">
        <f ca="1">IF(IFERROR(IF($C$155 = "Absolute", INDEX('Summary of Results'!K:K, MATCH($B206, 'Summary of Results'!$A:$A, 0)), (INDEX('Summary of Results'!K:K, MATCH($B206, 'Summary of Results'!$A:$A, 0))/INDEX('Summary of Results'!$G:$G, MATCH($B206, 'Summary of Results'!$A:$A, 0)) - 1)*100), NA()) = "", "", IFERROR(IF($C$155 = "Absolute", INDEX('Summary of Results'!K:K, MATCH($B206, 'Summary of Results'!$A:$A, 0)), (INDEX('Summary of Results'!K:K, MATCH($B206, 'Summary of Results'!$A:$A, 0))/INDEX('Summary of Results'!$G:$G, MATCH($B206, 'Summary of Results'!$A:$A, 0)) - 1)*100), NA()))</f>
        <v>287.68354785527009</v>
      </c>
      <c r="I206" s="908">
        <f ca="1">IF(IFERROR(IF($C$155 = "Absolute", INDEX('Summary of Results'!L:L, MATCH($B206, 'Summary of Results'!$A:$A, 0)), (INDEX('Summary of Results'!L:L, MATCH($B206, 'Summary of Results'!$A:$A, 0))/INDEX('Summary of Results'!$G:$G, MATCH($B206, 'Summary of Results'!$A:$A, 0)) - 1)*100), NA()) = "", "", IFERROR(IF($C$155 = "Absolute", INDEX('Summary of Results'!L:L, MATCH($B206, 'Summary of Results'!$A:$A, 0)), (INDEX('Summary of Results'!L:L, MATCH($B206, 'Summary of Results'!$A:$A, 0))/INDEX('Summary of Results'!$G:$G, MATCH($B206, 'Summary of Results'!$A:$A, 0)) - 1)*100), NA()))</f>
        <v>287.68354785527009</v>
      </c>
      <c r="J206" s="908">
        <f ca="1">IF(IFERROR(IF($C$155 = "Absolute", INDEX('Summary of Results'!M:M, MATCH($B206, 'Summary of Results'!$A:$A, 0)), (INDEX('Summary of Results'!M:M, MATCH($B206, 'Summary of Results'!$A:$A, 0))/INDEX('Summary of Results'!$G:$G, MATCH($B206, 'Summary of Results'!$A:$A, 0)) - 1)*100), NA()) = "", "", IFERROR(IF($C$155 = "Absolute", INDEX('Summary of Results'!M:M, MATCH($B206, 'Summary of Results'!$A:$A, 0)), (INDEX('Summary of Results'!M:M, MATCH($B206, 'Summary of Results'!$A:$A, 0))/INDEX('Summary of Results'!$G:$G, MATCH($B206, 'Summary of Results'!$A:$A, 0)) - 1)*100), NA()))</f>
        <v>287.68354785527009</v>
      </c>
      <c r="K206"/>
      <c r="L206"/>
      <c r="M206" s="8"/>
      <c r="N206"/>
      <c r="O206"/>
      <c r="P206"/>
      <c r="Q206"/>
      <c r="R206"/>
      <c r="S206"/>
      <c r="T206"/>
      <c r="U206"/>
      <c r="V206" s="1078"/>
      <c r="W206" s="1078"/>
      <c r="X206" s="1078"/>
      <c r="Y206" s="1078"/>
      <c r="Z206" s="1078"/>
      <c r="AA206" s="1078"/>
      <c r="AB206" s="1078"/>
      <c r="AC206"/>
      <c r="AD206"/>
      <c r="AE206"/>
      <c r="AF206"/>
      <c r="AG206"/>
      <c r="AH206"/>
      <c r="AI206"/>
      <c r="AJ206"/>
      <c r="AK206"/>
      <c r="AL206"/>
      <c r="AM206"/>
      <c r="AN206"/>
      <c r="AO206"/>
    </row>
    <row r="207" spans="2:41" outlineLevel="2" x14ac:dyDescent="0.2">
      <c r="B207" s="27">
        <v>7</v>
      </c>
      <c r="C207" s="907" t="str">
        <f>IFERROR(INDEX('Summary of Results'!$B:$B, MATCH(B207, 'Summary of Results'!$A:$A, 0)), NA())</f>
        <v>Pack specific energy, Wh/kg</v>
      </c>
      <c r="D207" s="908">
        <f ca="1">IF(IFERROR(IF($C$155 = "Absolute", INDEX('Summary of Results'!G:G, MATCH($B207, 'Summary of Results'!$A:$A, 0)), (INDEX('Summary of Results'!G:G, MATCH($B207, 'Summary of Results'!$A:$A, 0))/INDEX('Summary of Results'!$G:$G, MATCH($B207, 'Summary of Results'!$A:$A, 0)) - 1)*100), NA()) = "", "", IFERROR(IF($C$155 = "Absolute", INDEX('Summary of Results'!G:G, MATCH($B207, 'Summary of Results'!$A:$A, 0)), (INDEX('Summary of Results'!G:G, MATCH($B207, 'Summary of Results'!$A:$A, 0))/INDEX('Summary of Results'!$G:$G, MATCH($B207, 'Summary of Results'!$A:$A, 0)) - 1)*100), NA()))</f>
        <v>171.83678014161953</v>
      </c>
      <c r="E207" s="908">
        <f ca="1">IF(IFERROR(IF($C$155 = "Absolute", INDEX('Summary of Results'!H:H, MATCH($B207, 'Summary of Results'!$A:$A, 0)), (INDEX('Summary of Results'!H:H, MATCH($B207, 'Summary of Results'!$A:$A, 0))/INDEX('Summary of Results'!$G:$G, MATCH($B207, 'Summary of Results'!$A:$A, 0)) - 1)*100), NA()) = "", "", IFERROR(IF($C$155 = "Absolute", INDEX('Summary of Results'!H:H, MATCH($B207, 'Summary of Results'!$A:$A, 0)), (INDEX('Summary of Results'!H:H, MATCH($B207, 'Summary of Results'!$A:$A, 0))/INDEX('Summary of Results'!$G:$G, MATCH($B207, 'Summary of Results'!$A:$A, 0)) - 1)*100), NA()))</f>
        <v>171.83678014161953</v>
      </c>
      <c r="F207" s="908">
        <f ca="1">IF(IFERROR(IF($C$155 = "Absolute", INDEX('Summary of Results'!I:I, MATCH($B207, 'Summary of Results'!$A:$A, 0)), (INDEX('Summary of Results'!I:I, MATCH($B207, 'Summary of Results'!$A:$A, 0))/INDEX('Summary of Results'!$G:$G, MATCH($B207, 'Summary of Results'!$A:$A, 0)) - 1)*100), NA()) = "", "", IFERROR(IF($C$155 = "Absolute", INDEX('Summary of Results'!I:I, MATCH($B207, 'Summary of Results'!$A:$A, 0)), (INDEX('Summary of Results'!I:I, MATCH($B207, 'Summary of Results'!$A:$A, 0))/INDEX('Summary of Results'!$G:$G, MATCH($B207, 'Summary of Results'!$A:$A, 0)) - 1)*100), NA()))</f>
        <v>171.83678014161953</v>
      </c>
      <c r="G207" s="908">
        <f ca="1">IF(IFERROR(IF($C$155 = "Absolute", INDEX('Summary of Results'!J:J, MATCH($B207, 'Summary of Results'!$A:$A, 0)), (INDEX('Summary of Results'!J:J, MATCH($B207, 'Summary of Results'!$A:$A, 0))/INDEX('Summary of Results'!$G:$G, MATCH($B207, 'Summary of Results'!$A:$A, 0)) - 1)*100), NA()) = "", "", IFERROR(IF($C$155 = "Absolute", INDEX('Summary of Results'!J:J, MATCH($B207, 'Summary of Results'!$A:$A, 0)), (INDEX('Summary of Results'!J:J, MATCH($B207, 'Summary of Results'!$A:$A, 0))/INDEX('Summary of Results'!$G:$G, MATCH($B207, 'Summary of Results'!$A:$A, 0)) - 1)*100), NA()))</f>
        <v>171.83678014161953</v>
      </c>
      <c r="H207" s="908">
        <f ca="1">IF(IFERROR(IF($C$155 = "Absolute", INDEX('Summary of Results'!K:K, MATCH($B207, 'Summary of Results'!$A:$A, 0)), (INDEX('Summary of Results'!K:K, MATCH($B207, 'Summary of Results'!$A:$A, 0))/INDEX('Summary of Results'!$G:$G, MATCH($B207, 'Summary of Results'!$A:$A, 0)) - 1)*100), NA()) = "", "", IFERROR(IF($C$155 = "Absolute", INDEX('Summary of Results'!K:K, MATCH($B207, 'Summary of Results'!$A:$A, 0)), (INDEX('Summary of Results'!K:K, MATCH($B207, 'Summary of Results'!$A:$A, 0))/INDEX('Summary of Results'!$G:$G, MATCH($B207, 'Summary of Results'!$A:$A, 0)) - 1)*100), NA()))</f>
        <v>171.83678014161953</v>
      </c>
      <c r="I207" s="908">
        <f ca="1">IF(IFERROR(IF($C$155 = "Absolute", INDEX('Summary of Results'!L:L, MATCH($B207, 'Summary of Results'!$A:$A, 0)), (INDEX('Summary of Results'!L:L, MATCH($B207, 'Summary of Results'!$A:$A, 0))/INDEX('Summary of Results'!$G:$G, MATCH($B207, 'Summary of Results'!$A:$A, 0)) - 1)*100), NA()) = "", "", IFERROR(IF($C$155 = "Absolute", INDEX('Summary of Results'!L:L, MATCH($B207, 'Summary of Results'!$A:$A, 0)), (INDEX('Summary of Results'!L:L, MATCH($B207, 'Summary of Results'!$A:$A, 0))/INDEX('Summary of Results'!$G:$G, MATCH($B207, 'Summary of Results'!$A:$A, 0)) - 1)*100), NA()))</f>
        <v>171.83678014161953</v>
      </c>
      <c r="J207" s="908">
        <f ca="1">IF(IFERROR(IF($C$155 = "Absolute", INDEX('Summary of Results'!M:M, MATCH($B207, 'Summary of Results'!$A:$A, 0)), (INDEX('Summary of Results'!M:M, MATCH($B207, 'Summary of Results'!$A:$A, 0))/INDEX('Summary of Results'!$G:$G, MATCH($B207, 'Summary of Results'!$A:$A, 0)) - 1)*100), NA()) = "", "", IFERROR(IF($C$155 = "Absolute", INDEX('Summary of Results'!M:M, MATCH($B207, 'Summary of Results'!$A:$A, 0)), (INDEX('Summary of Results'!M:M, MATCH($B207, 'Summary of Results'!$A:$A, 0))/INDEX('Summary of Results'!$G:$G, MATCH($B207, 'Summary of Results'!$A:$A, 0)) - 1)*100), NA()))</f>
        <v>171.83678014161953</v>
      </c>
      <c r="K207"/>
      <c r="L207"/>
      <c r="M207" s="8"/>
      <c r="N207"/>
      <c r="O207"/>
      <c r="P207"/>
      <c r="Q207"/>
      <c r="R207"/>
      <c r="S207"/>
      <c r="T207"/>
      <c r="U207"/>
      <c r="V207" s="1078"/>
      <c r="W207" s="1078"/>
      <c r="X207" s="1078"/>
      <c r="Y207" s="1078"/>
      <c r="Z207" s="1078"/>
      <c r="AA207" s="1078"/>
      <c r="AB207" s="1078"/>
      <c r="AC207"/>
      <c r="AD207"/>
      <c r="AE207"/>
      <c r="AF207"/>
      <c r="AG207"/>
      <c r="AH207"/>
      <c r="AI207"/>
      <c r="AJ207"/>
      <c r="AK207"/>
      <c r="AL207"/>
      <c r="AM207"/>
      <c r="AN207"/>
      <c r="AO207"/>
    </row>
    <row r="208" spans="2:41" outlineLevel="2" x14ac:dyDescent="0.2">
      <c r="B208" s="27">
        <v>8</v>
      </c>
      <c r="C208" s="907" t="str">
        <f>IFERROR(INDEX('Summary of Results'!$B:$B, MATCH(B208, 'Summary of Results'!$A:$A, 0)), NA())</f>
        <v>Number of modules per pack</v>
      </c>
      <c r="D208" s="908">
        <f>IF(IFERROR(IF($C$155 = "Absolute", INDEX('Summary of Results'!G:G, MATCH($B208, 'Summary of Results'!$A:$A, 0)), (INDEX('Summary of Results'!G:G, MATCH($B208, 'Summary of Results'!$A:$A, 0))/INDEX('Summary of Results'!$G:$G, MATCH($B208, 'Summary of Results'!$A:$A, 0)) - 1)*100), NA()) = "", "", IFERROR(IF($C$155 = "Absolute", INDEX('Summary of Results'!G:G, MATCH($B208, 'Summary of Results'!$A:$A, 0)), (INDEX('Summary of Results'!G:G, MATCH($B208, 'Summary of Results'!$A:$A, 0))/INDEX('Summary of Results'!$G:$G, MATCH($B208, 'Summary of Results'!$A:$A, 0)) - 1)*100), NA()))</f>
        <v>20</v>
      </c>
      <c r="E208" s="908">
        <f>IF(IFERROR(IF($C$155 = "Absolute", INDEX('Summary of Results'!H:H, MATCH($B208, 'Summary of Results'!$A:$A, 0)), (INDEX('Summary of Results'!H:H, MATCH($B208, 'Summary of Results'!$A:$A, 0))/INDEX('Summary of Results'!$G:$G, MATCH($B208, 'Summary of Results'!$A:$A, 0)) - 1)*100), NA()) = "", "", IFERROR(IF($C$155 = "Absolute", INDEX('Summary of Results'!H:H, MATCH($B208, 'Summary of Results'!$A:$A, 0)), (INDEX('Summary of Results'!H:H, MATCH($B208, 'Summary of Results'!$A:$A, 0))/INDEX('Summary of Results'!$G:$G, MATCH($B208, 'Summary of Results'!$A:$A, 0)) - 1)*100), NA()))</f>
        <v>20</v>
      </c>
      <c r="F208" s="908">
        <f>IF(IFERROR(IF($C$155 = "Absolute", INDEX('Summary of Results'!I:I, MATCH($B208, 'Summary of Results'!$A:$A, 0)), (INDEX('Summary of Results'!I:I, MATCH($B208, 'Summary of Results'!$A:$A, 0))/INDEX('Summary of Results'!$G:$G, MATCH($B208, 'Summary of Results'!$A:$A, 0)) - 1)*100), NA()) = "", "", IFERROR(IF($C$155 = "Absolute", INDEX('Summary of Results'!I:I, MATCH($B208, 'Summary of Results'!$A:$A, 0)), (INDEX('Summary of Results'!I:I, MATCH($B208, 'Summary of Results'!$A:$A, 0))/INDEX('Summary of Results'!$G:$G, MATCH($B208, 'Summary of Results'!$A:$A, 0)) - 1)*100), NA()))</f>
        <v>20</v>
      </c>
      <c r="G208" s="908">
        <f>IF(IFERROR(IF($C$155 = "Absolute", INDEX('Summary of Results'!J:J, MATCH($B208, 'Summary of Results'!$A:$A, 0)), (INDEX('Summary of Results'!J:J, MATCH($B208, 'Summary of Results'!$A:$A, 0))/INDEX('Summary of Results'!$G:$G, MATCH($B208, 'Summary of Results'!$A:$A, 0)) - 1)*100), NA()) = "", "", IFERROR(IF($C$155 = "Absolute", INDEX('Summary of Results'!J:J, MATCH($B208, 'Summary of Results'!$A:$A, 0)), (INDEX('Summary of Results'!J:J, MATCH($B208, 'Summary of Results'!$A:$A, 0))/INDEX('Summary of Results'!$G:$G, MATCH($B208, 'Summary of Results'!$A:$A, 0)) - 1)*100), NA()))</f>
        <v>20</v>
      </c>
      <c r="H208" s="908">
        <f>IF(IFERROR(IF($C$155 = "Absolute", INDEX('Summary of Results'!K:K, MATCH($B208, 'Summary of Results'!$A:$A, 0)), (INDEX('Summary of Results'!K:K, MATCH($B208, 'Summary of Results'!$A:$A, 0))/INDEX('Summary of Results'!$G:$G, MATCH($B208, 'Summary of Results'!$A:$A, 0)) - 1)*100), NA()) = "", "", IFERROR(IF($C$155 = "Absolute", INDEX('Summary of Results'!K:K, MATCH($B208, 'Summary of Results'!$A:$A, 0)), (INDEX('Summary of Results'!K:K, MATCH($B208, 'Summary of Results'!$A:$A, 0))/INDEX('Summary of Results'!$G:$G, MATCH($B208, 'Summary of Results'!$A:$A, 0)) - 1)*100), NA()))</f>
        <v>20</v>
      </c>
      <c r="I208" s="908">
        <f>IF(IFERROR(IF($C$155 = "Absolute", INDEX('Summary of Results'!L:L, MATCH($B208, 'Summary of Results'!$A:$A, 0)), (INDEX('Summary of Results'!L:L, MATCH($B208, 'Summary of Results'!$A:$A, 0))/INDEX('Summary of Results'!$G:$G, MATCH($B208, 'Summary of Results'!$A:$A, 0)) - 1)*100), NA()) = "", "", IFERROR(IF($C$155 = "Absolute", INDEX('Summary of Results'!L:L, MATCH($B208, 'Summary of Results'!$A:$A, 0)), (INDEX('Summary of Results'!L:L, MATCH($B208, 'Summary of Results'!$A:$A, 0))/INDEX('Summary of Results'!$G:$G, MATCH($B208, 'Summary of Results'!$A:$A, 0)) - 1)*100), NA()))</f>
        <v>20</v>
      </c>
      <c r="J208" s="908">
        <f>IF(IFERROR(IF($C$155 = "Absolute", INDEX('Summary of Results'!M:M, MATCH($B208, 'Summary of Results'!$A:$A, 0)), (INDEX('Summary of Results'!M:M, MATCH($B208, 'Summary of Results'!$A:$A, 0))/INDEX('Summary of Results'!$G:$G, MATCH($B208, 'Summary of Results'!$A:$A, 0)) - 1)*100), NA()) = "", "", IFERROR(IF($C$155 = "Absolute", INDEX('Summary of Results'!M:M, MATCH($B208, 'Summary of Results'!$A:$A, 0)), (INDEX('Summary of Results'!M:M, MATCH($B208, 'Summary of Results'!$A:$A, 0))/INDEX('Summary of Results'!$G:$G, MATCH($B208, 'Summary of Results'!$A:$A, 0)) - 1)*100), NA()))</f>
        <v>20</v>
      </c>
      <c r="K208"/>
      <c r="L208"/>
      <c r="M208" s="8"/>
      <c r="N208"/>
      <c r="O208"/>
      <c r="P208"/>
      <c r="Q208"/>
      <c r="R208"/>
      <c r="S208"/>
      <c r="T208"/>
      <c r="U208"/>
      <c r="V208" s="1078"/>
      <c r="W208" s="1078"/>
      <c r="X208" s="1078"/>
      <c r="Y208" s="1078"/>
      <c r="Z208" s="1078"/>
      <c r="AA208" s="1078"/>
      <c r="AB208" s="1078"/>
      <c r="AC208"/>
      <c r="AD208"/>
      <c r="AE208"/>
      <c r="AF208"/>
      <c r="AG208"/>
      <c r="AH208"/>
      <c r="AI208"/>
      <c r="AJ208"/>
      <c r="AK208"/>
      <c r="AL208"/>
      <c r="AM208"/>
      <c r="AN208"/>
      <c r="AO208"/>
    </row>
    <row r="209" spans="1:41" outlineLevel="2" x14ac:dyDescent="0.2">
      <c r="B209" s="27">
        <v>9</v>
      </c>
      <c r="C209" s="907" t="str">
        <f>IFERROR(INDEX('Summary of Results'!$B:$B, MATCH(B209, 'Summary of Results'!$A:$A, 0)), NA())</f>
        <v>Number of cells per pack</v>
      </c>
      <c r="D209" s="908">
        <f>IF(IFERROR(IF($C$155 = "Absolute", INDEX('Summary of Results'!G:G, MATCH($B209, 'Summary of Results'!$A:$A, 0)), (INDEX('Summary of Results'!G:G, MATCH($B209, 'Summary of Results'!$A:$A, 0))/INDEX('Summary of Results'!$G:$G, MATCH($B209, 'Summary of Results'!$A:$A, 0)) - 1)*100), NA()) = "", "", IFERROR(IF($C$155 = "Absolute", INDEX('Summary of Results'!G:G, MATCH($B209, 'Summary of Results'!$A:$A, 0)), (INDEX('Summary of Results'!G:G, MATCH($B209, 'Summary of Results'!$A:$A, 0))/INDEX('Summary of Results'!$G:$G, MATCH($B209, 'Summary of Results'!$A:$A, 0)) - 1)*100), NA()))</f>
        <v>400</v>
      </c>
      <c r="E209" s="908">
        <f>IF(IFERROR(IF($C$155 = "Absolute", INDEX('Summary of Results'!H:H, MATCH($B209, 'Summary of Results'!$A:$A, 0)), (INDEX('Summary of Results'!H:H, MATCH($B209, 'Summary of Results'!$A:$A, 0))/INDEX('Summary of Results'!$G:$G, MATCH($B209, 'Summary of Results'!$A:$A, 0)) - 1)*100), NA()) = "", "", IFERROR(IF($C$155 = "Absolute", INDEX('Summary of Results'!H:H, MATCH($B209, 'Summary of Results'!$A:$A, 0)), (INDEX('Summary of Results'!H:H, MATCH($B209, 'Summary of Results'!$A:$A, 0))/INDEX('Summary of Results'!$G:$G, MATCH($B209, 'Summary of Results'!$A:$A, 0)) - 1)*100), NA()))</f>
        <v>400</v>
      </c>
      <c r="F209" s="908">
        <f>IF(IFERROR(IF($C$155 = "Absolute", INDEX('Summary of Results'!I:I, MATCH($B209, 'Summary of Results'!$A:$A, 0)), (INDEX('Summary of Results'!I:I, MATCH($B209, 'Summary of Results'!$A:$A, 0))/INDEX('Summary of Results'!$G:$G, MATCH($B209, 'Summary of Results'!$A:$A, 0)) - 1)*100), NA()) = "", "", IFERROR(IF($C$155 = "Absolute", INDEX('Summary of Results'!I:I, MATCH($B209, 'Summary of Results'!$A:$A, 0)), (INDEX('Summary of Results'!I:I, MATCH($B209, 'Summary of Results'!$A:$A, 0))/INDEX('Summary of Results'!$G:$G, MATCH($B209, 'Summary of Results'!$A:$A, 0)) - 1)*100), NA()))</f>
        <v>400</v>
      </c>
      <c r="G209" s="908">
        <f>IF(IFERROR(IF($C$155 = "Absolute", INDEX('Summary of Results'!J:J, MATCH($B209, 'Summary of Results'!$A:$A, 0)), (INDEX('Summary of Results'!J:J, MATCH($B209, 'Summary of Results'!$A:$A, 0))/INDEX('Summary of Results'!$G:$G, MATCH($B209, 'Summary of Results'!$A:$A, 0)) - 1)*100), NA()) = "", "", IFERROR(IF($C$155 = "Absolute", INDEX('Summary of Results'!J:J, MATCH($B209, 'Summary of Results'!$A:$A, 0)), (INDEX('Summary of Results'!J:J, MATCH($B209, 'Summary of Results'!$A:$A, 0))/INDEX('Summary of Results'!$G:$G, MATCH($B209, 'Summary of Results'!$A:$A, 0)) - 1)*100), NA()))</f>
        <v>400</v>
      </c>
      <c r="H209" s="908">
        <f>IF(IFERROR(IF($C$155 = "Absolute", INDEX('Summary of Results'!K:K, MATCH($B209, 'Summary of Results'!$A:$A, 0)), (INDEX('Summary of Results'!K:K, MATCH($B209, 'Summary of Results'!$A:$A, 0))/INDEX('Summary of Results'!$G:$G, MATCH($B209, 'Summary of Results'!$A:$A, 0)) - 1)*100), NA()) = "", "", IFERROR(IF($C$155 = "Absolute", INDEX('Summary of Results'!K:K, MATCH($B209, 'Summary of Results'!$A:$A, 0)), (INDEX('Summary of Results'!K:K, MATCH($B209, 'Summary of Results'!$A:$A, 0))/INDEX('Summary of Results'!$G:$G, MATCH($B209, 'Summary of Results'!$A:$A, 0)) - 1)*100), NA()))</f>
        <v>400</v>
      </c>
      <c r="I209" s="908">
        <f>IF(IFERROR(IF($C$155 = "Absolute", INDEX('Summary of Results'!L:L, MATCH($B209, 'Summary of Results'!$A:$A, 0)), (INDEX('Summary of Results'!L:L, MATCH($B209, 'Summary of Results'!$A:$A, 0))/INDEX('Summary of Results'!$G:$G, MATCH($B209, 'Summary of Results'!$A:$A, 0)) - 1)*100), NA()) = "", "", IFERROR(IF($C$155 = "Absolute", INDEX('Summary of Results'!L:L, MATCH($B209, 'Summary of Results'!$A:$A, 0)), (INDEX('Summary of Results'!L:L, MATCH($B209, 'Summary of Results'!$A:$A, 0))/INDEX('Summary of Results'!$G:$G, MATCH($B209, 'Summary of Results'!$A:$A, 0)) - 1)*100), NA()))</f>
        <v>400</v>
      </c>
      <c r="J209" s="908">
        <f>IF(IFERROR(IF($C$155 = "Absolute", INDEX('Summary of Results'!M:M, MATCH($B209, 'Summary of Results'!$A:$A, 0)), (INDEX('Summary of Results'!M:M, MATCH($B209, 'Summary of Results'!$A:$A, 0))/INDEX('Summary of Results'!$G:$G, MATCH($B209, 'Summary of Results'!$A:$A, 0)) - 1)*100), NA()) = "", "", IFERROR(IF($C$155 = "Absolute", INDEX('Summary of Results'!M:M, MATCH($B209, 'Summary of Results'!$A:$A, 0)), (INDEX('Summary of Results'!M:M, MATCH($B209, 'Summary of Results'!$A:$A, 0))/INDEX('Summary of Results'!$G:$G, MATCH($B209, 'Summary of Results'!$A:$A, 0)) - 1)*100), NA()))</f>
        <v>400</v>
      </c>
      <c r="K209"/>
      <c r="L209"/>
      <c r="M209" s="8"/>
      <c r="N209"/>
      <c r="O209"/>
      <c r="P209"/>
      <c r="Q209"/>
      <c r="R209"/>
      <c r="S209"/>
      <c r="T209"/>
      <c r="U209"/>
      <c r="V209" s="1078"/>
      <c r="W209" s="1078"/>
      <c r="X209" s="1078"/>
      <c r="Y209" s="1078"/>
      <c r="Z209" s="1078"/>
      <c r="AA209" s="1078"/>
      <c r="AB209" s="1078"/>
      <c r="AC209"/>
      <c r="AD209"/>
      <c r="AE209"/>
      <c r="AF209"/>
      <c r="AG209"/>
      <c r="AH209"/>
      <c r="AI209"/>
      <c r="AJ209"/>
      <c r="AK209"/>
      <c r="AL209"/>
      <c r="AM209"/>
      <c r="AN209"/>
      <c r="AO209"/>
    </row>
    <row r="210" spans="1:41" outlineLevel="2" x14ac:dyDescent="0.2">
      <c r="B210" s="27">
        <v>10</v>
      </c>
      <c r="C210" s="907" t="str">
        <f>IFERROR(INDEX('Summary of Results'!$B:$B, MATCH(B210, 'Summary of Results'!$A:$A, 0)), NA())</f>
        <v>Pack volume, L</v>
      </c>
      <c r="D210" s="908">
        <f ca="1">IF(IFERROR(IF($C$155 = "Absolute", INDEX('Summary of Results'!G:G, MATCH($B210, 'Summary of Results'!$A:$A, 0)), (INDEX('Summary of Results'!G:G, MATCH($B210, 'Summary of Results'!$A:$A, 0))/INDEX('Summary of Results'!$G:$G, MATCH($B210, 'Summary of Results'!$A:$A, 0)) - 1)*100), NA()) = "", "", IFERROR(IF($C$155 = "Absolute", INDEX('Summary of Results'!G:G, MATCH($B210, 'Summary of Results'!$A:$A, 0)), (INDEX('Summary of Results'!G:G, MATCH($B210, 'Summary of Results'!$A:$A, 0))/INDEX('Summary of Results'!$G:$G, MATCH($B210, 'Summary of Results'!$A:$A, 0)) - 1)*100), NA()))</f>
        <v>347.60416695891996</v>
      </c>
      <c r="E210" s="908">
        <f ca="1">IF(IFERROR(IF($C$155 = "Absolute", INDEX('Summary of Results'!H:H, MATCH($B210, 'Summary of Results'!$A:$A, 0)), (INDEX('Summary of Results'!H:H, MATCH($B210, 'Summary of Results'!$A:$A, 0))/INDEX('Summary of Results'!$G:$G, MATCH($B210, 'Summary of Results'!$A:$A, 0)) - 1)*100), NA()) = "", "", IFERROR(IF($C$155 = "Absolute", INDEX('Summary of Results'!H:H, MATCH($B210, 'Summary of Results'!$A:$A, 0)), (INDEX('Summary of Results'!H:H, MATCH($B210, 'Summary of Results'!$A:$A, 0))/INDEX('Summary of Results'!$G:$G, MATCH($B210, 'Summary of Results'!$A:$A, 0)) - 1)*100), NA()))</f>
        <v>347.60416695891996</v>
      </c>
      <c r="F210" s="908">
        <f ca="1">IF(IFERROR(IF($C$155 = "Absolute", INDEX('Summary of Results'!I:I, MATCH($B210, 'Summary of Results'!$A:$A, 0)), (INDEX('Summary of Results'!I:I, MATCH($B210, 'Summary of Results'!$A:$A, 0))/INDEX('Summary of Results'!$G:$G, MATCH($B210, 'Summary of Results'!$A:$A, 0)) - 1)*100), NA()) = "", "", IFERROR(IF($C$155 = "Absolute", INDEX('Summary of Results'!I:I, MATCH($B210, 'Summary of Results'!$A:$A, 0)), (INDEX('Summary of Results'!I:I, MATCH($B210, 'Summary of Results'!$A:$A, 0))/INDEX('Summary of Results'!$G:$G, MATCH($B210, 'Summary of Results'!$A:$A, 0)) - 1)*100), NA()))</f>
        <v>347.60416695891996</v>
      </c>
      <c r="G210" s="908">
        <f ca="1">IF(IFERROR(IF($C$155 = "Absolute", INDEX('Summary of Results'!J:J, MATCH($B210, 'Summary of Results'!$A:$A, 0)), (INDEX('Summary of Results'!J:J, MATCH($B210, 'Summary of Results'!$A:$A, 0))/INDEX('Summary of Results'!$G:$G, MATCH($B210, 'Summary of Results'!$A:$A, 0)) - 1)*100), NA()) = "", "", IFERROR(IF($C$155 = "Absolute", INDEX('Summary of Results'!J:J, MATCH($B210, 'Summary of Results'!$A:$A, 0)), (INDEX('Summary of Results'!J:J, MATCH($B210, 'Summary of Results'!$A:$A, 0))/INDEX('Summary of Results'!$G:$G, MATCH($B210, 'Summary of Results'!$A:$A, 0)) - 1)*100), NA()))</f>
        <v>347.60416695891996</v>
      </c>
      <c r="H210" s="908">
        <f ca="1">IF(IFERROR(IF($C$155 = "Absolute", INDEX('Summary of Results'!K:K, MATCH($B210, 'Summary of Results'!$A:$A, 0)), (INDEX('Summary of Results'!K:K, MATCH($B210, 'Summary of Results'!$A:$A, 0))/INDEX('Summary of Results'!$G:$G, MATCH($B210, 'Summary of Results'!$A:$A, 0)) - 1)*100), NA()) = "", "", IFERROR(IF($C$155 = "Absolute", INDEX('Summary of Results'!K:K, MATCH($B210, 'Summary of Results'!$A:$A, 0)), (INDEX('Summary of Results'!K:K, MATCH($B210, 'Summary of Results'!$A:$A, 0))/INDEX('Summary of Results'!$G:$G, MATCH($B210, 'Summary of Results'!$A:$A, 0)) - 1)*100), NA()))</f>
        <v>347.60416695891996</v>
      </c>
      <c r="I210" s="908">
        <f ca="1">IF(IFERROR(IF($C$155 = "Absolute", INDEX('Summary of Results'!L:L, MATCH($B210, 'Summary of Results'!$A:$A, 0)), (INDEX('Summary of Results'!L:L, MATCH($B210, 'Summary of Results'!$A:$A, 0))/INDEX('Summary of Results'!$G:$G, MATCH($B210, 'Summary of Results'!$A:$A, 0)) - 1)*100), NA()) = "", "", IFERROR(IF($C$155 = "Absolute", INDEX('Summary of Results'!L:L, MATCH($B210, 'Summary of Results'!$A:$A, 0)), (INDEX('Summary of Results'!L:L, MATCH($B210, 'Summary of Results'!$A:$A, 0))/INDEX('Summary of Results'!$G:$G, MATCH($B210, 'Summary of Results'!$A:$A, 0)) - 1)*100), NA()))</f>
        <v>347.60416695891996</v>
      </c>
      <c r="J210" s="908">
        <f ca="1">IF(IFERROR(IF($C$155 = "Absolute", INDEX('Summary of Results'!M:M, MATCH($B210, 'Summary of Results'!$A:$A, 0)), (INDEX('Summary of Results'!M:M, MATCH($B210, 'Summary of Results'!$A:$A, 0))/INDEX('Summary of Results'!$G:$G, MATCH($B210, 'Summary of Results'!$A:$A, 0)) - 1)*100), NA()) = "", "", IFERROR(IF($C$155 = "Absolute", INDEX('Summary of Results'!M:M, MATCH($B210, 'Summary of Results'!$A:$A, 0)), (INDEX('Summary of Results'!M:M, MATCH($B210, 'Summary of Results'!$A:$A, 0))/INDEX('Summary of Results'!$G:$G, MATCH($B210, 'Summary of Results'!$A:$A, 0)) - 1)*100), NA()))</f>
        <v>347.60416695891996</v>
      </c>
      <c r="K210"/>
      <c r="L210"/>
      <c r="M210" s="8"/>
      <c r="N210"/>
      <c r="O210"/>
      <c r="P210"/>
      <c r="Q210"/>
      <c r="R210"/>
      <c r="S210"/>
      <c r="T210"/>
      <c r="U210"/>
      <c r="V210" s="1078"/>
      <c r="W210" s="1078"/>
      <c r="X210" s="1078"/>
      <c r="Y210" s="1078"/>
      <c r="Z210" s="1078"/>
      <c r="AA210" s="1078"/>
      <c r="AB210" s="1078"/>
      <c r="AC210"/>
      <c r="AD210"/>
      <c r="AE210"/>
      <c r="AF210"/>
      <c r="AG210"/>
      <c r="AH210"/>
      <c r="AI210"/>
      <c r="AJ210"/>
      <c r="AK210"/>
      <c r="AL210"/>
      <c r="AM210"/>
      <c r="AN210"/>
      <c r="AO210"/>
    </row>
    <row r="211" spans="1:41" outlineLevel="2" x14ac:dyDescent="0.2">
      <c r="B211" s="27">
        <v>11</v>
      </c>
      <c r="C211" s="907" t="str">
        <f>IFERROR(INDEX('Summary of Results'!$B:$B, MATCH(B211, 'Summary of Results'!$A:$A, 0)), NA())</f>
        <v>Pack total mass, kg</v>
      </c>
      <c r="D211" s="1209">
        <f ca="1">IF(IFERROR(IF($C$155 = "Absolute", INDEX('Summary of Results'!G:G, MATCH($B211, 'Summary of Results'!$A:$A, 0)), (INDEX('Summary of Results'!G:G, MATCH($B211, 'Summary of Results'!$A:$A, 0))/INDEX('Summary of Results'!$G:$G, MATCH($B211, 'Summary of Results'!$A:$A, 0)) - 1)*100), NA()) = "", "", IFERROR(IF($C$155 = "Absolute", INDEX('Summary of Results'!G:G, MATCH($B211, 'Summary of Results'!$A:$A, 0)), (INDEX('Summary of Results'!G:G, MATCH($B211, 'Summary of Results'!$A:$A, 0))/INDEX('Summary of Results'!$G:$G, MATCH($B211, 'Summary of Results'!$A:$A, 0)) - 1)*100), NA()))</f>
        <v>581.94758955331099</v>
      </c>
      <c r="E211" s="1209">
        <f ca="1">IF(IFERROR(IF($C$155 = "Absolute", INDEX('Summary of Results'!H:H, MATCH($B211, 'Summary of Results'!$A:$A, 0)), (INDEX('Summary of Results'!H:H, MATCH($B211, 'Summary of Results'!$A:$A, 0))/INDEX('Summary of Results'!$G:$G, MATCH($B211, 'Summary of Results'!$A:$A, 0)) - 1)*100), NA()) = "", "", IFERROR(IF($C$155 = "Absolute", INDEX('Summary of Results'!H:H, MATCH($B211, 'Summary of Results'!$A:$A, 0)), (INDEX('Summary of Results'!H:H, MATCH($B211, 'Summary of Results'!$A:$A, 0))/INDEX('Summary of Results'!$G:$G, MATCH($B211, 'Summary of Results'!$A:$A, 0)) - 1)*100), NA()))</f>
        <v>581.94758955331099</v>
      </c>
      <c r="F211" s="1209">
        <f ca="1">IF(IFERROR(IF($C$155 = "Absolute", INDEX('Summary of Results'!I:I, MATCH($B211, 'Summary of Results'!$A:$A, 0)), (INDEX('Summary of Results'!I:I, MATCH($B211, 'Summary of Results'!$A:$A, 0))/INDEX('Summary of Results'!$G:$G, MATCH($B211, 'Summary of Results'!$A:$A, 0)) - 1)*100), NA()) = "", "", IFERROR(IF($C$155 = "Absolute", INDEX('Summary of Results'!I:I, MATCH($B211, 'Summary of Results'!$A:$A, 0)), (INDEX('Summary of Results'!I:I, MATCH($B211, 'Summary of Results'!$A:$A, 0))/INDEX('Summary of Results'!$G:$G, MATCH($B211, 'Summary of Results'!$A:$A, 0)) - 1)*100), NA()))</f>
        <v>581.94758955331099</v>
      </c>
      <c r="G211" s="1209">
        <f ca="1">IF(IFERROR(IF($C$155 = "Absolute", INDEX('Summary of Results'!J:J, MATCH($B211, 'Summary of Results'!$A:$A, 0)), (INDEX('Summary of Results'!J:J, MATCH($B211, 'Summary of Results'!$A:$A, 0))/INDEX('Summary of Results'!$G:$G, MATCH($B211, 'Summary of Results'!$A:$A, 0)) - 1)*100), NA()) = "", "", IFERROR(IF($C$155 = "Absolute", INDEX('Summary of Results'!J:J, MATCH($B211, 'Summary of Results'!$A:$A, 0)), (INDEX('Summary of Results'!J:J, MATCH($B211, 'Summary of Results'!$A:$A, 0))/INDEX('Summary of Results'!$G:$G, MATCH($B211, 'Summary of Results'!$A:$A, 0)) - 1)*100), NA()))</f>
        <v>581.94758955331099</v>
      </c>
      <c r="H211" s="1209">
        <f ca="1">IF(IFERROR(IF($C$155 = "Absolute", INDEX('Summary of Results'!K:K, MATCH($B211, 'Summary of Results'!$A:$A, 0)), (INDEX('Summary of Results'!K:K, MATCH($B211, 'Summary of Results'!$A:$A, 0))/INDEX('Summary of Results'!$G:$G, MATCH($B211, 'Summary of Results'!$A:$A, 0)) - 1)*100), NA()) = "", "", IFERROR(IF($C$155 = "Absolute", INDEX('Summary of Results'!K:K, MATCH($B211, 'Summary of Results'!$A:$A, 0)), (INDEX('Summary of Results'!K:K, MATCH($B211, 'Summary of Results'!$A:$A, 0))/INDEX('Summary of Results'!$G:$G, MATCH($B211, 'Summary of Results'!$A:$A, 0)) - 1)*100), NA()))</f>
        <v>581.94758955331099</v>
      </c>
      <c r="I211" s="1209">
        <f ca="1">IF(IFERROR(IF($C$155 = "Absolute", INDEX('Summary of Results'!L:L, MATCH($B211, 'Summary of Results'!$A:$A, 0)), (INDEX('Summary of Results'!L:L, MATCH($B211, 'Summary of Results'!$A:$A, 0))/INDEX('Summary of Results'!$G:$G, MATCH($B211, 'Summary of Results'!$A:$A, 0)) - 1)*100), NA()) = "", "", IFERROR(IF($C$155 = "Absolute", INDEX('Summary of Results'!L:L, MATCH($B211, 'Summary of Results'!$A:$A, 0)), (INDEX('Summary of Results'!L:L, MATCH($B211, 'Summary of Results'!$A:$A, 0))/INDEX('Summary of Results'!$G:$G, MATCH($B211, 'Summary of Results'!$A:$A, 0)) - 1)*100), NA()))</f>
        <v>581.94758955331099</v>
      </c>
      <c r="J211" s="1209">
        <f ca="1">IF(IFERROR(IF($C$155 = "Absolute", INDEX('Summary of Results'!M:M, MATCH($B211, 'Summary of Results'!$A:$A, 0)), (INDEX('Summary of Results'!M:M, MATCH($B211, 'Summary of Results'!$A:$A, 0))/INDEX('Summary of Results'!$G:$G, MATCH($B211, 'Summary of Results'!$A:$A, 0)) - 1)*100), NA()) = "", "", IFERROR(IF($C$155 = "Absolute", INDEX('Summary of Results'!M:M, MATCH($B211, 'Summary of Results'!$A:$A, 0)), (INDEX('Summary of Results'!M:M, MATCH($B211, 'Summary of Results'!$A:$A, 0))/INDEX('Summary of Results'!$G:$G, MATCH($B211, 'Summary of Results'!$A:$A, 0)) - 1)*100), NA()))</f>
        <v>581.94758955331099</v>
      </c>
      <c r="K211"/>
      <c r="L211"/>
      <c r="M211" s="8"/>
      <c r="N211"/>
      <c r="O211"/>
      <c r="P211"/>
      <c r="Q211"/>
      <c r="R211"/>
      <c r="S211"/>
      <c r="T211"/>
      <c r="U211"/>
      <c r="V211" s="1078"/>
      <c r="W211" s="1078"/>
      <c r="X211" s="1078"/>
      <c r="Y211" s="1078"/>
      <c r="Z211" s="1078"/>
      <c r="AA211" s="1078"/>
      <c r="AB211" s="1078"/>
      <c r="AC211"/>
      <c r="AD211"/>
      <c r="AE211"/>
      <c r="AF211"/>
      <c r="AG211"/>
      <c r="AH211"/>
      <c r="AI211"/>
      <c r="AJ211"/>
      <c r="AK211"/>
      <c r="AL211"/>
      <c r="AM211"/>
      <c r="AN211"/>
      <c r="AO211"/>
    </row>
    <row r="212" spans="1:41" outlineLevel="2" x14ac:dyDescent="0.2">
      <c r="B212" s="27">
        <v>12</v>
      </c>
      <c r="C212" s="907" t="str">
        <f>IFERROR(INDEX('Summary of Results'!$B:$B, MATCH(B212, 'Summary of Results'!$A:$A, 0)), NA())</f>
        <v>Cell capacity, Ah</v>
      </c>
      <c r="D212" s="1209">
        <f ca="1">IF(IFERROR(IF($C$155 = "Absolute", INDEX('Summary of Results'!G:G, MATCH($B212, 'Summary of Results'!$A:$A, 0)), (INDEX('Summary of Results'!G:G, MATCH($B212, 'Summary of Results'!$A:$A, 0))/INDEX('Summary of Results'!$G:$G, MATCH($B212, 'Summary of Results'!$A:$A, 0)) - 1)*100), NA()) = "", "", IFERROR(IF($C$155 = "Absolute", INDEX('Summary of Results'!G:G, MATCH($B212, 'Summary of Results'!$A:$A, 0)), (INDEX('Summary of Results'!G:G, MATCH($B212, 'Summary of Results'!$A:$A, 0))/INDEX('Summary of Results'!$G:$G, MATCH($B212, 'Summary of Results'!$A:$A, 0)) - 1)*100), NA()))</f>
        <v>67.939713246223192</v>
      </c>
      <c r="E212" s="1209">
        <f ca="1">IF(IFERROR(IF($C$155 = "Absolute", INDEX('Summary of Results'!H:H, MATCH($B212, 'Summary of Results'!$A:$A, 0)), (INDEX('Summary of Results'!H:H, MATCH($B212, 'Summary of Results'!$A:$A, 0))/INDEX('Summary of Results'!$G:$G, MATCH($B212, 'Summary of Results'!$A:$A, 0)) - 1)*100), NA()) = "", "", IFERROR(IF($C$155 = "Absolute", INDEX('Summary of Results'!H:H, MATCH($B212, 'Summary of Results'!$A:$A, 0)), (INDEX('Summary of Results'!H:H, MATCH($B212, 'Summary of Results'!$A:$A, 0))/INDEX('Summary of Results'!$G:$G, MATCH($B212, 'Summary of Results'!$A:$A, 0)) - 1)*100), NA()))</f>
        <v>67.939713246223192</v>
      </c>
      <c r="F212" s="1209">
        <f ca="1">IF(IFERROR(IF($C$155 = "Absolute", INDEX('Summary of Results'!I:I, MATCH($B212, 'Summary of Results'!$A:$A, 0)), (INDEX('Summary of Results'!I:I, MATCH($B212, 'Summary of Results'!$A:$A, 0))/INDEX('Summary of Results'!$G:$G, MATCH($B212, 'Summary of Results'!$A:$A, 0)) - 1)*100), NA()) = "", "", IFERROR(IF($C$155 = "Absolute", INDEX('Summary of Results'!I:I, MATCH($B212, 'Summary of Results'!$A:$A, 0)), (INDEX('Summary of Results'!I:I, MATCH($B212, 'Summary of Results'!$A:$A, 0))/INDEX('Summary of Results'!$G:$G, MATCH($B212, 'Summary of Results'!$A:$A, 0)) - 1)*100), NA()))</f>
        <v>67.939713246223192</v>
      </c>
      <c r="G212" s="908">
        <f ca="1">IF(IFERROR(IF($C$155 = "Absolute", INDEX('Summary of Results'!J:J, MATCH($B212, 'Summary of Results'!$A:$A, 0)), (INDEX('Summary of Results'!J:J, MATCH($B212, 'Summary of Results'!$A:$A, 0))/INDEX('Summary of Results'!$G:$G, MATCH($B212, 'Summary of Results'!$A:$A, 0)) - 1)*100), NA()) = "", "", IFERROR(IF($C$155 = "Absolute", INDEX('Summary of Results'!J:J, MATCH($B212, 'Summary of Results'!$A:$A, 0)), (INDEX('Summary of Results'!J:J, MATCH($B212, 'Summary of Results'!$A:$A, 0))/INDEX('Summary of Results'!$G:$G, MATCH($B212, 'Summary of Results'!$A:$A, 0)) - 1)*100), NA()))</f>
        <v>67.939713246223192</v>
      </c>
      <c r="H212" s="908">
        <f ca="1">IF(IFERROR(IF($C$155 = "Absolute", INDEX('Summary of Results'!K:K, MATCH($B212, 'Summary of Results'!$A:$A, 0)), (INDEX('Summary of Results'!K:K, MATCH($B212, 'Summary of Results'!$A:$A, 0))/INDEX('Summary of Results'!$G:$G, MATCH($B212, 'Summary of Results'!$A:$A, 0)) - 1)*100), NA()) = "", "", IFERROR(IF($C$155 = "Absolute", INDEX('Summary of Results'!K:K, MATCH($B212, 'Summary of Results'!$A:$A, 0)), (INDEX('Summary of Results'!K:K, MATCH($B212, 'Summary of Results'!$A:$A, 0))/INDEX('Summary of Results'!$G:$G, MATCH($B212, 'Summary of Results'!$A:$A, 0)) - 1)*100), NA()))</f>
        <v>67.939713246223192</v>
      </c>
      <c r="I212" s="908">
        <f ca="1">IF(IFERROR(IF($C$155 = "Absolute", INDEX('Summary of Results'!L:L, MATCH($B212, 'Summary of Results'!$A:$A, 0)), (INDEX('Summary of Results'!L:L, MATCH($B212, 'Summary of Results'!$A:$A, 0))/INDEX('Summary of Results'!$G:$G, MATCH($B212, 'Summary of Results'!$A:$A, 0)) - 1)*100), NA()) = "", "", IFERROR(IF($C$155 = "Absolute", INDEX('Summary of Results'!L:L, MATCH($B212, 'Summary of Results'!$A:$A, 0)), (INDEX('Summary of Results'!L:L, MATCH($B212, 'Summary of Results'!$A:$A, 0))/INDEX('Summary of Results'!$G:$G, MATCH($B212, 'Summary of Results'!$A:$A, 0)) - 1)*100), NA()))</f>
        <v>67.939713246223192</v>
      </c>
      <c r="J212" s="908">
        <f ca="1">IF(IFERROR(IF($C$155 = "Absolute", INDEX('Summary of Results'!M:M, MATCH($B212, 'Summary of Results'!$A:$A, 0)), (INDEX('Summary of Results'!M:M, MATCH($B212, 'Summary of Results'!$A:$A, 0))/INDEX('Summary of Results'!$G:$G, MATCH($B212, 'Summary of Results'!$A:$A, 0)) - 1)*100), NA()) = "", "", IFERROR(IF($C$155 = "Absolute", INDEX('Summary of Results'!M:M, MATCH($B212, 'Summary of Results'!$A:$A, 0)), (INDEX('Summary of Results'!M:M, MATCH($B212, 'Summary of Results'!$A:$A, 0))/INDEX('Summary of Results'!$G:$G, MATCH($B212, 'Summary of Results'!$A:$A, 0)) - 1)*100), NA()))</f>
        <v>67.939713246223192</v>
      </c>
      <c r="K212"/>
      <c r="L212"/>
      <c r="M212" s="8"/>
      <c r="N212"/>
      <c r="O212"/>
      <c r="P212"/>
      <c r="Q212"/>
      <c r="R212"/>
      <c r="S212"/>
      <c r="T212"/>
      <c r="U212"/>
      <c r="V212" s="1078"/>
      <c r="W212" s="1078"/>
      <c r="X212" s="1078"/>
      <c r="Y212" s="1078"/>
      <c r="Z212" s="1078"/>
      <c r="AA212" s="1078"/>
      <c r="AB212" s="1078"/>
      <c r="AC212"/>
      <c r="AD212"/>
      <c r="AE212"/>
      <c r="AF212"/>
      <c r="AG212"/>
      <c r="AH212"/>
      <c r="AI212"/>
      <c r="AJ212"/>
      <c r="AK212"/>
      <c r="AL212"/>
      <c r="AM212"/>
      <c r="AN212"/>
      <c r="AO212"/>
    </row>
    <row r="213" spans="1:41" outlineLevel="2" x14ac:dyDescent="0.2">
      <c r="A213" s="6"/>
      <c r="B213" s="27">
        <v>13</v>
      </c>
      <c r="C213" s="907" t="str">
        <f>IFERROR(INDEX('Summary of Results'!$B:$B, MATCH(B213, 'Summary of Results'!$A:$A, 0)), NA())</f>
        <v>Cell nominal operating voltage, V</v>
      </c>
      <c r="D213" s="1210">
        <f ca="1">IF(IFERROR(IF($C$155 = "Absolute", INDEX('Summary of Results'!G:G, MATCH($B213, 'Summary of Results'!$A:$A, 0)), (INDEX('Summary of Results'!G:G, MATCH($B213, 'Summary of Results'!$A:$A, 0))/INDEX('Summary of Results'!$G:$G, MATCH($B213, 'Summary of Results'!$A:$A, 0)) - 1)*100), NA()) = "", "", IFERROR(IF($C$155 = "Absolute", INDEX('Summary of Results'!G:G, MATCH($B213, 'Summary of Results'!$A:$A, 0)), (INDEX('Summary of Results'!G:G, MATCH($B213, 'Summary of Results'!$A:$A, 0))/INDEX('Summary of Results'!$G:$G, MATCH($B213, 'Summary of Results'!$A:$A, 0)) - 1)*100), NA()))</f>
        <v>3.6797329287237055</v>
      </c>
      <c r="E213" s="1210">
        <f ca="1">IF(IFERROR(IF($C$155 = "Absolute", INDEX('Summary of Results'!H:H, MATCH($B213, 'Summary of Results'!$A:$A, 0)), (INDEX('Summary of Results'!H:H, MATCH($B213, 'Summary of Results'!$A:$A, 0))/INDEX('Summary of Results'!$G:$G, MATCH($B213, 'Summary of Results'!$A:$A, 0)) - 1)*100), NA()) = "", "", IFERROR(IF($C$155 = "Absolute", INDEX('Summary of Results'!H:H, MATCH($B213, 'Summary of Results'!$A:$A, 0)), (INDEX('Summary of Results'!H:H, MATCH($B213, 'Summary of Results'!$A:$A, 0))/INDEX('Summary of Results'!$G:$G, MATCH($B213, 'Summary of Results'!$A:$A, 0)) - 1)*100), NA()))</f>
        <v>3.6797329287237055</v>
      </c>
      <c r="F213" s="1210">
        <f ca="1">IF(IFERROR(IF($C$155 = "Absolute", INDEX('Summary of Results'!I:I, MATCH($B213, 'Summary of Results'!$A:$A, 0)), (INDEX('Summary of Results'!I:I, MATCH($B213, 'Summary of Results'!$A:$A, 0))/INDEX('Summary of Results'!$G:$G, MATCH($B213, 'Summary of Results'!$A:$A, 0)) - 1)*100), NA()) = "", "", IFERROR(IF($C$155 = "Absolute", INDEX('Summary of Results'!I:I, MATCH($B213, 'Summary of Results'!$A:$A, 0)), (INDEX('Summary of Results'!I:I, MATCH($B213, 'Summary of Results'!$A:$A, 0))/INDEX('Summary of Results'!$G:$G, MATCH($B213, 'Summary of Results'!$A:$A, 0)) - 1)*100), NA()))</f>
        <v>3.6797329287237055</v>
      </c>
      <c r="G213" s="1210">
        <f ca="1">IF(IFERROR(IF($C$155 = "Absolute", INDEX('Summary of Results'!J:J, MATCH($B213, 'Summary of Results'!$A:$A, 0)), (INDEX('Summary of Results'!J:J, MATCH($B213, 'Summary of Results'!$A:$A, 0))/INDEX('Summary of Results'!$G:$G, MATCH($B213, 'Summary of Results'!$A:$A, 0)) - 1)*100), NA()) = "", "", IFERROR(IF($C$155 = "Absolute", INDEX('Summary of Results'!J:J, MATCH($B213, 'Summary of Results'!$A:$A, 0)), (INDEX('Summary of Results'!J:J, MATCH($B213, 'Summary of Results'!$A:$A, 0))/INDEX('Summary of Results'!$G:$G, MATCH($B213, 'Summary of Results'!$A:$A, 0)) - 1)*100), NA()))</f>
        <v>3.6797329287237055</v>
      </c>
      <c r="H213" s="1210">
        <f ca="1">IF(IFERROR(IF($C$155 = "Absolute", INDEX('Summary of Results'!K:K, MATCH($B213, 'Summary of Results'!$A:$A, 0)), (INDEX('Summary of Results'!K:K, MATCH($B213, 'Summary of Results'!$A:$A, 0))/INDEX('Summary of Results'!$G:$G, MATCH($B213, 'Summary of Results'!$A:$A, 0)) - 1)*100), NA()) = "", "", IFERROR(IF($C$155 = "Absolute", INDEX('Summary of Results'!K:K, MATCH($B213, 'Summary of Results'!$A:$A, 0)), (INDEX('Summary of Results'!K:K, MATCH($B213, 'Summary of Results'!$A:$A, 0))/INDEX('Summary of Results'!$G:$G, MATCH($B213, 'Summary of Results'!$A:$A, 0)) - 1)*100), NA()))</f>
        <v>3.6797329287237055</v>
      </c>
      <c r="I213" s="1210">
        <f ca="1">IF(IFERROR(IF($C$155 = "Absolute", INDEX('Summary of Results'!L:L, MATCH($B213, 'Summary of Results'!$A:$A, 0)), (INDEX('Summary of Results'!L:L, MATCH($B213, 'Summary of Results'!$A:$A, 0))/INDEX('Summary of Results'!$G:$G, MATCH($B213, 'Summary of Results'!$A:$A, 0)) - 1)*100), NA()) = "", "", IFERROR(IF($C$155 = "Absolute", INDEX('Summary of Results'!L:L, MATCH($B213, 'Summary of Results'!$A:$A, 0)), (INDEX('Summary of Results'!L:L, MATCH($B213, 'Summary of Results'!$A:$A, 0))/INDEX('Summary of Results'!$G:$G, MATCH($B213, 'Summary of Results'!$A:$A, 0)) - 1)*100), NA()))</f>
        <v>3.6797329287237055</v>
      </c>
      <c r="J213" s="1210">
        <f ca="1">IF(IFERROR(IF($C$155 = "Absolute", INDEX('Summary of Results'!M:M, MATCH($B213, 'Summary of Results'!$A:$A, 0)), (INDEX('Summary of Results'!M:M, MATCH($B213, 'Summary of Results'!$A:$A, 0))/INDEX('Summary of Results'!$G:$G, MATCH($B213, 'Summary of Results'!$A:$A, 0)) - 1)*100), NA()) = "", "", IFERROR(IF($C$155 = "Absolute", INDEX('Summary of Results'!M:M, MATCH($B213, 'Summary of Results'!$A:$A, 0)), (INDEX('Summary of Results'!M:M, MATCH($B213, 'Summary of Results'!$A:$A, 0))/INDEX('Summary of Results'!$G:$G, MATCH($B213, 'Summary of Results'!$A:$A, 0)) - 1)*100), NA()))</f>
        <v>3.6797329287237055</v>
      </c>
      <c r="K213"/>
      <c r="L213"/>
      <c r="M213" s="8"/>
      <c r="N213"/>
      <c r="O213"/>
      <c r="P213"/>
      <c r="Q213"/>
      <c r="R213"/>
      <c r="S213"/>
      <c r="T213"/>
      <c r="U213"/>
      <c r="V213" s="1078"/>
      <c r="W213" s="1078"/>
      <c r="X213" s="1078"/>
      <c r="Y213" s="1078"/>
      <c r="Z213" s="1078"/>
      <c r="AA213" s="1078"/>
      <c r="AB213" s="1078"/>
      <c r="AC213"/>
      <c r="AD213"/>
      <c r="AE213"/>
      <c r="AF213"/>
      <c r="AG213"/>
      <c r="AH213"/>
      <c r="AI213"/>
      <c r="AJ213"/>
      <c r="AK213"/>
      <c r="AL213"/>
      <c r="AM213"/>
      <c r="AN213"/>
      <c r="AO213"/>
    </row>
    <row r="214" spans="1:41" outlineLevel="2" x14ac:dyDescent="0.2">
      <c r="A214" s="6"/>
      <c r="B214" s="27">
        <v>14</v>
      </c>
      <c r="C214" s="907" t="str">
        <f>IFERROR(INDEX('Summary of Results'!$B:$B, MATCH(B214, 'Summary of Results'!$A:$A, 0)), NA())</f>
        <v>Positive electrode thickness, µm</v>
      </c>
      <c r="D214" s="1209">
        <f ca="1">IF(IFERROR(IF($C$155 = "Absolute", INDEX('Summary of Results'!G:G, MATCH($B214, 'Summary of Results'!$A:$A, 0)), (INDEX('Summary of Results'!G:G, MATCH($B214, 'Summary of Results'!$A:$A, 0))/INDEX('Summary of Results'!$G:$G, MATCH($B214, 'Summary of Results'!$A:$A, 0)) - 1)*100), NA()) = "", "", IFERROR(IF($C$155 = "Absolute", INDEX('Summary of Results'!G:G, MATCH($B214, 'Summary of Results'!$A:$A, 0)), (INDEX('Summary of Results'!G:G, MATCH($B214, 'Summary of Results'!$A:$A, 0))/INDEX('Summary of Results'!$G:$G, MATCH($B214, 'Summary of Results'!$A:$A, 0)) - 1)*100), NA()))</f>
        <v>120</v>
      </c>
      <c r="E214" s="908">
        <f ca="1">IF(IFERROR(IF($C$155 = "Absolute", INDEX('Summary of Results'!H:H, MATCH($B214, 'Summary of Results'!$A:$A, 0)), (INDEX('Summary of Results'!H:H, MATCH($B214, 'Summary of Results'!$A:$A, 0))/INDEX('Summary of Results'!$G:$G, MATCH($B214, 'Summary of Results'!$A:$A, 0)) - 1)*100), NA()) = "", "", IFERROR(IF($C$155 = "Absolute", INDEX('Summary of Results'!H:H, MATCH($B214, 'Summary of Results'!$A:$A, 0)), (INDEX('Summary of Results'!H:H, MATCH($B214, 'Summary of Results'!$A:$A, 0))/INDEX('Summary of Results'!$G:$G, MATCH($B214, 'Summary of Results'!$A:$A, 0)) - 1)*100), NA()))</f>
        <v>120</v>
      </c>
      <c r="F214" s="908">
        <f ca="1">IF(IFERROR(IF($C$155 = "Absolute", INDEX('Summary of Results'!I:I, MATCH($B214, 'Summary of Results'!$A:$A, 0)), (INDEX('Summary of Results'!I:I, MATCH($B214, 'Summary of Results'!$A:$A, 0))/INDEX('Summary of Results'!$G:$G, MATCH($B214, 'Summary of Results'!$A:$A, 0)) - 1)*100), NA()) = "", "", IFERROR(IF($C$155 = "Absolute", INDEX('Summary of Results'!I:I, MATCH($B214, 'Summary of Results'!$A:$A, 0)), (INDEX('Summary of Results'!I:I, MATCH($B214, 'Summary of Results'!$A:$A, 0))/INDEX('Summary of Results'!$G:$G, MATCH($B214, 'Summary of Results'!$A:$A, 0)) - 1)*100), NA()))</f>
        <v>120</v>
      </c>
      <c r="G214" s="908">
        <f ca="1">IF(IFERROR(IF($C$155 = "Absolute", INDEX('Summary of Results'!J:J, MATCH($B214, 'Summary of Results'!$A:$A, 0)), (INDEX('Summary of Results'!J:J, MATCH($B214, 'Summary of Results'!$A:$A, 0))/INDEX('Summary of Results'!$G:$G, MATCH($B214, 'Summary of Results'!$A:$A, 0)) - 1)*100), NA()) = "", "", IFERROR(IF($C$155 = "Absolute", INDEX('Summary of Results'!J:J, MATCH($B214, 'Summary of Results'!$A:$A, 0)), (INDEX('Summary of Results'!J:J, MATCH($B214, 'Summary of Results'!$A:$A, 0))/INDEX('Summary of Results'!$G:$G, MATCH($B214, 'Summary of Results'!$A:$A, 0)) - 1)*100), NA()))</f>
        <v>120</v>
      </c>
      <c r="H214" s="908">
        <f ca="1">IF(IFERROR(IF($C$155 = "Absolute", INDEX('Summary of Results'!K:K, MATCH($B214, 'Summary of Results'!$A:$A, 0)), (INDEX('Summary of Results'!K:K, MATCH($B214, 'Summary of Results'!$A:$A, 0))/INDEX('Summary of Results'!$G:$G, MATCH($B214, 'Summary of Results'!$A:$A, 0)) - 1)*100), NA()) = "", "", IFERROR(IF($C$155 = "Absolute", INDEX('Summary of Results'!K:K, MATCH($B214, 'Summary of Results'!$A:$A, 0)), (INDEX('Summary of Results'!K:K, MATCH($B214, 'Summary of Results'!$A:$A, 0))/INDEX('Summary of Results'!$G:$G, MATCH($B214, 'Summary of Results'!$A:$A, 0)) - 1)*100), NA()))</f>
        <v>120</v>
      </c>
      <c r="I214" s="908">
        <f ca="1">IF(IFERROR(IF($C$155 = "Absolute", INDEX('Summary of Results'!L:L, MATCH($B214, 'Summary of Results'!$A:$A, 0)), (INDEX('Summary of Results'!L:L, MATCH($B214, 'Summary of Results'!$A:$A, 0))/INDEX('Summary of Results'!$G:$G, MATCH($B214, 'Summary of Results'!$A:$A, 0)) - 1)*100), NA()) = "", "", IFERROR(IF($C$155 = "Absolute", INDEX('Summary of Results'!L:L, MATCH($B214, 'Summary of Results'!$A:$A, 0)), (INDEX('Summary of Results'!L:L, MATCH($B214, 'Summary of Results'!$A:$A, 0))/INDEX('Summary of Results'!$G:$G, MATCH($B214, 'Summary of Results'!$A:$A, 0)) - 1)*100), NA()))</f>
        <v>120</v>
      </c>
      <c r="J214" s="908">
        <f ca="1">IF(IFERROR(IF($C$155 = "Absolute", INDEX('Summary of Results'!M:M, MATCH($B214, 'Summary of Results'!$A:$A, 0)), (INDEX('Summary of Results'!M:M, MATCH($B214, 'Summary of Results'!$A:$A, 0))/INDEX('Summary of Results'!$G:$G, MATCH($B214, 'Summary of Results'!$A:$A, 0)) - 1)*100), NA()) = "", "", IFERROR(IF($C$155 = "Absolute", INDEX('Summary of Results'!M:M, MATCH($B214, 'Summary of Results'!$A:$A, 0)), (INDEX('Summary of Results'!M:M, MATCH($B214, 'Summary of Results'!$A:$A, 0))/INDEX('Summary of Results'!$G:$G, MATCH($B214, 'Summary of Results'!$A:$A, 0)) - 1)*100), NA()))</f>
        <v>120</v>
      </c>
      <c r="K214"/>
      <c r="L214"/>
      <c r="M214" s="8"/>
      <c r="N214"/>
      <c r="O214"/>
      <c r="P214"/>
      <c r="Q214"/>
      <c r="R214"/>
      <c r="S214"/>
      <c r="T214"/>
      <c r="U214"/>
      <c r="V214" s="1078"/>
      <c r="W214" s="1078"/>
      <c r="X214" s="1078"/>
      <c r="Y214" s="1078"/>
      <c r="Z214" s="1078"/>
      <c r="AA214" s="1078"/>
      <c r="AB214" s="1078"/>
      <c r="AC214"/>
      <c r="AD214"/>
      <c r="AE214"/>
      <c r="AF214"/>
      <c r="AG214"/>
      <c r="AH214"/>
      <c r="AI214"/>
      <c r="AJ214"/>
      <c r="AK214"/>
      <c r="AL214"/>
      <c r="AM214"/>
      <c r="AN214"/>
      <c r="AO214"/>
    </row>
    <row r="215" spans="1:41" outlineLevel="2" x14ac:dyDescent="0.2">
      <c r="A215" s="6"/>
      <c r="B215" s="27">
        <v>15</v>
      </c>
      <c r="C215" s="907" t="str">
        <f>IFERROR(INDEX('Summary of Results'!$B:$B, MATCH(B215, 'Summary of Results'!$A:$A, 0)), NA())</f>
        <v>Positive electode areal capacity, mAh/cm²</v>
      </c>
      <c r="D215" s="1209">
        <f ca="1">IF(IFERROR(IF($C$155 = "Absolute", INDEX('Summary of Results'!G:G, MATCH($B215, 'Summary of Results'!$A:$A, 0)), (INDEX('Summary of Results'!G:G, MATCH($B215, 'Summary of Results'!$A:$A, 0))/INDEX('Summary of Results'!$G:$G, MATCH($B215, 'Summary of Results'!$A:$A, 0)) - 1)*100), NA()) = "", "", IFERROR(IF($C$155 = "Absolute", INDEX('Summary of Results'!G:G, MATCH($B215, 'Summary of Results'!$A:$A, 0)), (INDEX('Summary of Results'!G:G, MATCH($B215, 'Summary of Results'!$A:$A, 0))/INDEX('Summary of Results'!$G:$G, MATCH($B215, 'Summary of Results'!$A:$A, 0)) - 1)*100), NA()))</f>
        <v>5.8283984106079121</v>
      </c>
      <c r="E215" s="1209">
        <f ca="1">IF(IFERROR(IF($C$155 = "Absolute", INDEX('Summary of Results'!H:H, MATCH($B215, 'Summary of Results'!$A:$A, 0)), (INDEX('Summary of Results'!H:H, MATCH($B215, 'Summary of Results'!$A:$A, 0))/INDEX('Summary of Results'!$G:$G, MATCH($B215, 'Summary of Results'!$A:$A, 0)) - 1)*100), NA()) = "", "", IFERROR(IF($C$155 = "Absolute", INDEX('Summary of Results'!H:H, MATCH($B215, 'Summary of Results'!$A:$A, 0)), (INDEX('Summary of Results'!H:H, MATCH($B215, 'Summary of Results'!$A:$A, 0))/INDEX('Summary of Results'!$G:$G, MATCH($B215, 'Summary of Results'!$A:$A, 0)) - 1)*100), NA()))</f>
        <v>5.8283984106079121</v>
      </c>
      <c r="F215" s="1209">
        <f ca="1">IF(IFERROR(IF($C$155 = "Absolute", INDEX('Summary of Results'!I:I, MATCH($B215, 'Summary of Results'!$A:$A, 0)), (INDEX('Summary of Results'!I:I, MATCH($B215, 'Summary of Results'!$A:$A, 0))/INDEX('Summary of Results'!$G:$G, MATCH($B215, 'Summary of Results'!$A:$A, 0)) - 1)*100), NA()) = "", "", IFERROR(IF($C$155 = "Absolute", INDEX('Summary of Results'!I:I, MATCH($B215, 'Summary of Results'!$A:$A, 0)), (INDEX('Summary of Results'!I:I, MATCH($B215, 'Summary of Results'!$A:$A, 0))/INDEX('Summary of Results'!$G:$G, MATCH($B215, 'Summary of Results'!$A:$A, 0)) - 1)*100), NA()))</f>
        <v>5.8283984106079121</v>
      </c>
      <c r="G215" s="1209">
        <f ca="1">IF(IFERROR(IF($C$155 = "Absolute", INDEX('Summary of Results'!J:J, MATCH($B215, 'Summary of Results'!$A:$A, 0)), (INDEX('Summary of Results'!J:J, MATCH($B215, 'Summary of Results'!$A:$A, 0))/INDEX('Summary of Results'!$G:$G, MATCH($B215, 'Summary of Results'!$A:$A, 0)) - 1)*100), NA()) = "", "", IFERROR(IF($C$155 = "Absolute", INDEX('Summary of Results'!J:J, MATCH($B215, 'Summary of Results'!$A:$A, 0)), (INDEX('Summary of Results'!J:J, MATCH($B215, 'Summary of Results'!$A:$A, 0))/INDEX('Summary of Results'!$G:$G, MATCH($B215, 'Summary of Results'!$A:$A, 0)) - 1)*100), NA()))</f>
        <v>5.8283984106079121</v>
      </c>
      <c r="H215" s="1209">
        <f ca="1">IF(IFERROR(IF($C$155 = "Absolute", INDEX('Summary of Results'!K:K, MATCH($B215, 'Summary of Results'!$A:$A, 0)), (INDEX('Summary of Results'!K:K, MATCH($B215, 'Summary of Results'!$A:$A, 0))/INDEX('Summary of Results'!$G:$G, MATCH($B215, 'Summary of Results'!$A:$A, 0)) - 1)*100), NA()) = "", "", IFERROR(IF($C$155 = "Absolute", INDEX('Summary of Results'!K:K, MATCH($B215, 'Summary of Results'!$A:$A, 0)), (INDEX('Summary of Results'!K:K, MATCH($B215, 'Summary of Results'!$A:$A, 0))/INDEX('Summary of Results'!$G:$G, MATCH($B215, 'Summary of Results'!$A:$A, 0)) - 1)*100), NA()))</f>
        <v>5.8283984106079121</v>
      </c>
      <c r="I215" s="1209">
        <f ca="1">IF(IFERROR(IF($C$155 = "Absolute", INDEX('Summary of Results'!L:L, MATCH($B215, 'Summary of Results'!$A:$A, 0)), (INDEX('Summary of Results'!L:L, MATCH($B215, 'Summary of Results'!$A:$A, 0))/INDEX('Summary of Results'!$G:$G, MATCH($B215, 'Summary of Results'!$A:$A, 0)) - 1)*100), NA()) = "", "", IFERROR(IF($C$155 = "Absolute", INDEX('Summary of Results'!L:L, MATCH($B215, 'Summary of Results'!$A:$A, 0)), (INDEX('Summary of Results'!L:L, MATCH($B215, 'Summary of Results'!$A:$A, 0))/INDEX('Summary of Results'!$G:$G, MATCH($B215, 'Summary of Results'!$A:$A, 0)) - 1)*100), NA()))</f>
        <v>5.8283984106079121</v>
      </c>
      <c r="J215" s="1209">
        <f ca="1">IF(IFERROR(IF($C$155 = "Absolute", INDEX('Summary of Results'!M:M, MATCH($B215, 'Summary of Results'!$A:$A, 0)), (INDEX('Summary of Results'!M:M, MATCH($B215, 'Summary of Results'!$A:$A, 0))/INDEX('Summary of Results'!$G:$G, MATCH($B215, 'Summary of Results'!$A:$A, 0)) - 1)*100), NA()) = "", "", IFERROR(IF($C$155 = "Absolute", INDEX('Summary of Results'!M:M, MATCH($B215, 'Summary of Results'!$A:$A, 0)), (INDEX('Summary of Results'!M:M, MATCH($B215, 'Summary of Results'!$A:$A, 0))/INDEX('Summary of Results'!$G:$G, MATCH($B215, 'Summary of Results'!$A:$A, 0)) - 1)*100), NA()))</f>
        <v>5.8283984106079121</v>
      </c>
      <c r="K215"/>
      <c r="L215"/>
      <c r="M215" s="8"/>
      <c r="N215"/>
      <c r="O215"/>
      <c r="P215"/>
      <c r="Q215"/>
      <c r="R215"/>
      <c r="S215"/>
      <c r="T215"/>
      <c r="U215"/>
      <c r="V215" s="1078"/>
      <c r="W215" s="1078"/>
      <c r="X215" s="1078"/>
      <c r="Y215" s="1078"/>
      <c r="Z215" s="1078"/>
      <c r="AA215" s="1078"/>
      <c r="AB215" s="1078"/>
      <c r="AC215"/>
      <c r="AD215"/>
      <c r="AE215"/>
      <c r="AF215"/>
      <c r="AG215"/>
      <c r="AH215"/>
      <c r="AI215"/>
      <c r="AJ215"/>
      <c r="AK215"/>
      <c r="AL215"/>
      <c r="AM215"/>
      <c r="AN215"/>
      <c r="AO215"/>
    </row>
    <row r="216" spans="1:41" outlineLevel="2" x14ac:dyDescent="0.2">
      <c r="A216" s="6"/>
      <c r="B216" s="27">
        <v>16</v>
      </c>
      <c r="C216" s="907" t="str">
        <f>IFERROR(INDEX('Summary of Results'!$B:$B, MATCH(B216, 'Summary of Results'!$A:$A, 0)), NA())</f>
        <v>Negative electrode thickness, µm</v>
      </c>
      <c r="D216" s="908">
        <f ca="1">IF(IFERROR(IF($C$155 = "Absolute", INDEX('Summary of Results'!G:G, MATCH($B216, 'Summary of Results'!$A:$A, 0)), (INDEX('Summary of Results'!G:G, MATCH($B216, 'Summary of Results'!$A:$A, 0))/INDEX('Summary of Results'!$G:$G, MATCH($B216, 'Summary of Results'!$A:$A, 0)) - 1)*100), NA()) = "", "", IFERROR(IF($C$155 = "Absolute", INDEX('Summary of Results'!G:G, MATCH($B216, 'Summary of Results'!$A:$A, 0)), (INDEX('Summary of Results'!G:G, MATCH($B216, 'Summary of Results'!$A:$A, 0))/INDEX('Summary of Results'!$G:$G, MATCH($B216, 'Summary of Results'!$A:$A, 0)) - 1)*100), NA()))</f>
        <v>130.28605121812248</v>
      </c>
      <c r="E216" s="908">
        <f ca="1">IF(IFERROR(IF($C$155 = "Absolute", INDEX('Summary of Results'!H:H, MATCH($B216, 'Summary of Results'!$A:$A, 0)), (INDEX('Summary of Results'!H:H, MATCH($B216, 'Summary of Results'!$A:$A, 0))/INDEX('Summary of Results'!$G:$G, MATCH($B216, 'Summary of Results'!$A:$A, 0)) - 1)*100), NA()) = "", "", IFERROR(IF($C$155 = "Absolute", INDEX('Summary of Results'!H:H, MATCH($B216, 'Summary of Results'!$A:$A, 0)), (INDEX('Summary of Results'!H:H, MATCH($B216, 'Summary of Results'!$A:$A, 0))/INDEX('Summary of Results'!$G:$G, MATCH($B216, 'Summary of Results'!$A:$A, 0)) - 1)*100), NA()))</f>
        <v>130.28605121812248</v>
      </c>
      <c r="F216" s="908">
        <f ca="1">IF(IFERROR(IF($C$155 = "Absolute", INDEX('Summary of Results'!I:I, MATCH($B216, 'Summary of Results'!$A:$A, 0)), (INDEX('Summary of Results'!I:I, MATCH($B216, 'Summary of Results'!$A:$A, 0))/INDEX('Summary of Results'!$G:$G, MATCH($B216, 'Summary of Results'!$A:$A, 0)) - 1)*100), NA()) = "", "", IFERROR(IF($C$155 = "Absolute", INDEX('Summary of Results'!I:I, MATCH($B216, 'Summary of Results'!$A:$A, 0)), (INDEX('Summary of Results'!I:I, MATCH($B216, 'Summary of Results'!$A:$A, 0))/INDEX('Summary of Results'!$G:$G, MATCH($B216, 'Summary of Results'!$A:$A, 0)) - 1)*100), NA()))</f>
        <v>130.28605121812248</v>
      </c>
      <c r="G216" s="908">
        <f ca="1">IF(IFERROR(IF($C$155 = "Absolute", INDEX('Summary of Results'!J:J, MATCH($B216, 'Summary of Results'!$A:$A, 0)), (INDEX('Summary of Results'!J:J, MATCH($B216, 'Summary of Results'!$A:$A, 0))/INDEX('Summary of Results'!$G:$G, MATCH($B216, 'Summary of Results'!$A:$A, 0)) - 1)*100), NA()) = "", "", IFERROR(IF($C$155 = "Absolute", INDEX('Summary of Results'!J:J, MATCH($B216, 'Summary of Results'!$A:$A, 0)), (INDEX('Summary of Results'!J:J, MATCH($B216, 'Summary of Results'!$A:$A, 0))/INDEX('Summary of Results'!$G:$G, MATCH($B216, 'Summary of Results'!$A:$A, 0)) - 1)*100), NA()))</f>
        <v>130.28605121812248</v>
      </c>
      <c r="H216" s="908">
        <f ca="1">IF(IFERROR(IF($C$155 = "Absolute", INDEX('Summary of Results'!K:K, MATCH($B216, 'Summary of Results'!$A:$A, 0)), (INDEX('Summary of Results'!K:K, MATCH($B216, 'Summary of Results'!$A:$A, 0))/INDEX('Summary of Results'!$G:$G, MATCH($B216, 'Summary of Results'!$A:$A, 0)) - 1)*100), NA()) = "", "", IFERROR(IF($C$155 = "Absolute", INDEX('Summary of Results'!K:K, MATCH($B216, 'Summary of Results'!$A:$A, 0)), (INDEX('Summary of Results'!K:K, MATCH($B216, 'Summary of Results'!$A:$A, 0))/INDEX('Summary of Results'!$G:$G, MATCH($B216, 'Summary of Results'!$A:$A, 0)) - 1)*100), NA()))</f>
        <v>130.28605121812248</v>
      </c>
      <c r="I216" s="908">
        <f ca="1">IF(IFERROR(IF($C$155 = "Absolute", INDEX('Summary of Results'!L:L, MATCH($B216, 'Summary of Results'!$A:$A, 0)), (INDEX('Summary of Results'!L:L, MATCH($B216, 'Summary of Results'!$A:$A, 0))/INDEX('Summary of Results'!$G:$G, MATCH($B216, 'Summary of Results'!$A:$A, 0)) - 1)*100), NA()) = "", "", IFERROR(IF($C$155 = "Absolute", INDEX('Summary of Results'!L:L, MATCH($B216, 'Summary of Results'!$A:$A, 0)), (INDEX('Summary of Results'!L:L, MATCH($B216, 'Summary of Results'!$A:$A, 0))/INDEX('Summary of Results'!$G:$G, MATCH($B216, 'Summary of Results'!$A:$A, 0)) - 1)*100), NA()))</f>
        <v>130.28605121812248</v>
      </c>
      <c r="J216" s="908">
        <f ca="1">IF(IFERROR(IF($C$155 = "Absolute", INDEX('Summary of Results'!M:M, MATCH($B216, 'Summary of Results'!$A:$A, 0)), (INDEX('Summary of Results'!M:M, MATCH($B216, 'Summary of Results'!$A:$A, 0))/INDEX('Summary of Results'!$G:$G, MATCH($B216, 'Summary of Results'!$A:$A, 0)) - 1)*100), NA()) = "", "", IFERROR(IF($C$155 = "Absolute", INDEX('Summary of Results'!M:M, MATCH($B216, 'Summary of Results'!$A:$A, 0)), (INDEX('Summary of Results'!M:M, MATCH($B216, 'Summary of Results'!$A:$A, 0))/INDEX('Summary of Results'!$G:$G, MATCH($B216, 'Summary of Results'!$A:$A, 0)) - 1)*100), NA()))</f>
        <v>130.28605121812248</v>
      </c>
      <c r="K216"/>
      <c r="L216"/>
      <c r="M216" s="8"/>
      <c r="N216"/>
      <c r="O216"/>
      <c r="P216"/>
      <c r="Q216"/>
      <c r="R216"/>
      <c r="S216"/>
      <c r="T216"/>
      <c r="U216"/>
      <c r="V216" s="1078"/>
      <c r="W216" s="1078"/>
      <c r="X216" s="1078"/>
      <c r="Y216" s="1078"/>
      <c r="Z216" s="1078"/>
      <c r="AA216" s="1078"/>
      <c r="AB216" s="1078"/>
      <c r="AC216"/>
      <c r="AD216"/>
      <c r="AE216"/>
      <c r="AF216"/>
      <c r="AG216"/>
      <c r="AH216"/>
      <c r="AI216"/>
      <c r="AJ216"/>
      <c r="AK216"/>
      <c r="AL216"/>
      <c r="AM216"/>
      <c r="AN216"/>
      <c r="AO216"/>
    </row>
    <row r="217" spans="1:41" outlineLevel="2" x14ac:dyDescent="0.2">
      <c r="A217" s="6"/>
      <c r="B217" s="27">
        <v>17</v>
      </c>
      <c r="C217" s="907" t="str">
        <f>IFERROR(INDEX('Summary of Results'!$B:$B, MATCH(B217, 'Summary of Results'!$A:$A, 0)), NA())</f>
        <v>Negative electrode areal capacity, mAh/cm²</v>
      </c>
      <c r="D217" s="1209">
        <f ca="1">IF(IFERROR(IF($C$155 = "Absolute", INDEX('Summary of Results'!G:G, MATCH($B217, 'Summary of Results'!$A:$A, 0)), (INDEX('Summary of Results'!G:G, MATCH($B217, 'Summary of Results'!$A:$A, 0))/INDEX('Summary of Results'!$G:$G, MATCH($B217, 'Summary of Results'!$A:$A, 0)) - 1)*100), NA()) = "", "", IFERROR(IF($C$155 = "Absolute", INDEX('Summary of Results'!G:G, MATCH($B217, 'Summary of Results'!$A:$A, 0)), (INDEX('Summary of Results'!G:G, MATCH($B217, 'Summary of Results'!$A:$A, 0))/INDEX('Summary of Results'!$G:$G, MATCH($B217, 'Summary of Results'!$A:$A, 0)) - 1)*100), NA()))</f>
        <v>6.4112382516687036</v>
      </c>
      <c r="E217" s="1209">
        <f ca="1">IF(IFERROR(IF($C$155 = "Absolute", INDEX('Summary of Results'!H:H, MATCH($B217, 'Summary of Results'!$A:$A, 0)), (INDEX('Summary of Results'!H:H, MATCH($B217, 'Summary of Results'!$A:$A, 0))/INDEX('Summary of Results'!$G:$G, MATCH($B217, 'Summary of Results'!$A:$A, 0)) - 1)*100), NA()) = "", "", IFERROR(IF($C$155 = "Absolute", INDEX('Summary of Results'!H:H, MATCH($B217, 'Summary of Results'!$A:$A, 0)), (INDEX('Summary of Results'!H:H, MATCH($B217, 'Summary of Results'!$A:$A, 0))/INDEX('Summary of Results'!$G:$G, MATCH($B217, 'Summary of Results'!$A:$A, 0)) - 1)*100), NA()))</f>
        <v>6.4112382516687036</v>
      </c>
      <c r="F217" s="1209">
        <f ca="1">IF(IFERROR(IF($C$155 = "Absolute", INDEX('Summary of Results'!I:I, MATCH($B217, 'Summary of Results'!$A:$A, 0)), (INDEX('Summary of Results'!I:I, MATCH($B217, 'Summary of Results'!$A:$A, 0))/INDEX('Summary of Results'!$G:$G, MATCH($B217, 'Summary of Results'!$A:$A, 0)) - 1)*100), NA()) = "", "", IFERROR(IF($C$155 = "Absolute", INDEX('Summary of Results'!I:I, MATCH($B217, 'Summary of Results'!$A:$A, 0)), (INDEX('Summary of Results'!I:I, MATCH($B217, 'Summary of Results'!$A:$A, 0))/INDEX('Summary of Results'!$G:$G, MATCH($B217, 'Summary of Results'!$A:$A, 0)) - 1)*100), NA()))</f>
        <v>6.4112382516687036</v>
      </c>
      <c r="G217" s="1209">
        <f ca="1">IF(IFERROR(IF($C$155 = "Absolute", INDEX('Summary of Results'!J:J, MATCH($B217, 'Summary of Results'!$A:$A, 0)), (INDEX('Summary of Results'!J:J, MATCH($B217, 'Summary of Results'!$A:$A, 0))/INDEX('Summary of Results'!$G:$G, MATCH($B217, 'Summary of Results'!$A:$A, 0)) - 1)*100), NA()) = "", "", IFERROR(IF($C$155 = "Absolute", INDEX('Summary of Results'!J:J, MATCH($B217, 'Summary of Results'!$A:$A, 0)), (INDEX('Summary of Results'!J:J, MATCH($B217, 'Summary of Results'!$A:$A, 0))/INDEX('Summary of Results'!$G:$G, MATCH($B217, 'Summary of Results'!$A:$A, 0)) - 1)*100), NA()))</f>
        <v>6.4112382516687036</v>
      </c>
      <c r="H217" s="1209">
        <f ca="1">IF(IFERROR(IF($C$155 = "Absolute", INDEX('Summary of Results'!K:K, MATCH($B217, 'Summary of Results'!$A:$A, 0)), (INDEX('Summary of Results'!K:K, MATCH($B217, 'Summary of Results'!$A:$A, 0))/INDEX('Summary of Results'!$G:$G, MATCH($B217, 'Summary of Results'!$A:$A, 0)) - 1)*100), NA()) = "", "", IFERROR(IF($C$155 = "Absolute", INDEX('Summary of Results'!K:K, MATCH($B217, 'Summary of Results'!$A:$A, 0)), (INDEX('Summary of Results'!K:K, MATCH($B217, 'Summary of Results'!$A:$A, 0))/INDEX('Summary of Results'!$G:$G, MATCH($B217, 'Summary of Results'!$A:$A, 0)) - 1)*100), NA()))</f>
        <v>6.4112382516687036</v>
      </c>
      <c r="I217" s="1209">
        <f ca="1">IF(IFERROR(IF($C$155 = "Absolute", INDEX('Summary of Results'!L:L, MATCH($B217, 'Summary of Results'!$A:$A, 0)), (INDEX('Summary of Results'!L:L, MATCH($B217, 'Summary of Results'!$A:$A, 0))/INDEX('Summary of Results'!$G:$G, MATCH($B217, 'Summary of Results'!$A:$A, 0)) - 1)*100), NA()) = "", "", IFERROR(IF($C$155 = "Absolute", INDEX('Summary of Results'!L:L, MATCH($B217, 'Summary of Results'!$A:$A, 0)), (INDEX('Summary of Results'!L:L, MATCH($B217, 'Summary of Results'!$A:$A, 0))/INDEX('Summary of Results'!$G:$G, MATCH($B217, 'Summary of Results'!$A:$A, 0)) - 1)*100), NA()))</f>
        <v>6.4112382516687036</v>
      </c>
      <c r="J217" s="1209">
        <f ca="1">IF(IFERROR(IF($C$155 = "Absolute", INDEX('Summary of Results'!M:M, MATCH($B217, 'Summary of Results'!$A:$A, 0)), (INDEX('Summary of Results'!M:M, MATCH($B217, 'Summary of Results'!$A:$A, 0))/INDEX('Summary of Results'!$G:$G, MATCH($B217, 'Summary of Results'!$A:$A, 0)) - 1)*100), NA()) = "", "", IFERROR(IF($C$155 = "Absolute", INDEX('Summary of Results'!M:M, MATCH($B217, 'Summary of Results'!$A:$A, 0)), (INDEX('Summary of Results'!M:M, MATCH($B217, 'Summary of Results'!$A:$A, 0))/INDEX('Summary of Results'!$G:$G, MATCH($B217, 'Summary of Results'!$A:$A, 0)) - 1)*100), NA()))</f>
        <v>6.4112382516687036</v>
      </c>
      <c r="K217"/>
      <c r="L217"/>
      <c r="M217" s="8"/>
      <c r="N217"/>
      <c r="O217"/>
      <c r="P217"/>
      <c r="Q217"/>
      <c r="R217"/>
      <c r="S217"/>
      <c r="T217"/>
      <c r="U217"/>
      <c r="V217" s="1078"/>
      <c r="W217" s="1078"/>
      <c r="X217" s="1078"/>
      <c r="Y217" s="1078"/>
      <c r="Z217" s="1078"/>
      <c r="AA217" s="1078"/>
      <c r="AB217" s="1078"/>
      <c r="AC217"/>
      <c r="AD217"/>
      <c r="AE217"/>
      <c r="AF217"/>
      <c r="AG217"/>
      <c r="AH217"/>
      <c r="AI217"/>
      <c r="AJ217"/>
      <c r="AK217"/>
      <c r="AL217"/>
      <c r="AM217"/>
      <c r="AN217"/>
      <c r="AO217"/>
    </row>
    <row r="218" spans="1:41" outlineLevel="2" x14ac:dyDescent="0.2">
      <c r="A218" s="6"/>
      <c r="B218" s="27">
        <v>18</v>
      </c>
      <c r="C218" s="907" t="str">
        <f>IFERROR(INDEX('Summary of Results'!$B:$B, MATCH(B218, 'Summary of Results'!$A:$A, 0)), NA())</f>
        <v>Cell energy density, Wh/L</v>
      </c>
      <c r="D218" s="908">
        <f ca="1">IF(IFERROR(IF($C$155 = "Absolute", INDEX('Summary of Results'!G:G, MATCH($B218, 'Summary of Results'!$A:$A, 0)), (INDEX('Summary of Results'!G:G, MATCH($B218, 'Summary of Results'!$A:$A, 0))/INDEX('Summary of Results'!$G:$G, MATCH($B218, 'Summary of Results'!$A:$A, 0)) - 1)*100), NA()) = "", "", IFERROR(IF($C$155 = "Absolute", INDEX('Summary of Results'!G:G, MATCH($B218, 'Summary of Results'!$A:$A, 0)), (INDEX('Summary of Results'!G:G, MATCH($B218, 'Summary of Results'!$A:$A, 0))/INDEX('Summary of Results'!$G:$G, MATCH($B218, 'Summary of Results'!$A:$A, 0)) - 1)*100), NA()))</f>
        <v>518.01472920537856</v>
      </c>
      <c r="E218" s="908">
        <f ca="1">IF(IFERROR(IF($C$155 = "Absolute", INDEX('Summary of Results'!H:H, MATCH($B218, 'Summary of Results'!$A:$A, 0)), (INDEX('Summary of Results'!H:H, MATCH($B218, 'Summary of Results'!$A:$A, 0))/INDEX('Summary of Results'!$G:$G, MATCH($B218, 'Summary of Results'!$A:$A, 0)) - 1)*100), NA()) = "", "", IFERROR(IF($C$155 = "Absolute", INDEX('Summary of Results'!H:H, MATCH($B218, 'Summary of Results'!$A:$A, 0)), (INDEX('Summary of Results'!H:H, MATCH($B218, 'Summary of Results'!$A:$A, 0))/INDEX('Summary of Results'!$G:$G, MATCH($B218, 'Summary of Results'!$A:$A, 0)) - 1)*100), NA()))</f>
        <v>518.01472920537856</v>
      </c>
      <c r="F218" s="908">
        <f ca="1">IF(IFERROR(IF($C$155 = "Absolute", INDEX('Summary of Results'!I:I, MATCH($B218, 'Summary of Results'!$A:$A, 0)), (INDEX('Summary of Results'!I:I, MATCH($B218, 'Summary of Results'!$A:$A, 0))/INDEX('Summary of Results'!$G:$G, MATCH($B218, 'Summary of Results'!$A:$A, 0)) - 1)*100), NA()) = "", "", IFERROR(IF($C$155 = "Absolute", INDEX('Summary of Results'!I:I, MATCH($B218, 'Summary of Results'!$A:$A, 0)), (INDEX('Summary of Results'!I:I, MATCH($B218, 'Summary of Results'!$A:$A, 0))/INDEX('Summary of Results'!$G:$G, MATCH($B218, 'Summary of Results'!$A:$A, 0)) - 1)*100), NA()))</f>
        <v>518.01472920537856</v>
      </c>
      <c r="G218" s="908">
        <f ca="1">IF(IFERROR(IF($C$155 = "Absolute", INDEX('Summary of Results'!J:J, MATCH($B218, 'Summary of Results'!$A:$A, 0)), (INDEX('Summary of Results'!J:J, MATCH($B218, 'Summary of Results'!$A:$A, 0))/INDEX('Summary of Results'!$G:$G, MATCH($B218, 'Summary of Results'!$A:$A, 0)) - 1)*100), NA()) = "", "", IFERROR(IF($C$155 = "Absolute", INDEX('Summary of Results'!J:J, MATCH($B218, 'Summary of Results'!$A:$A, 0)), (INDEX('Summary of Results'!J:J, MATCH($B218, 'Summary of Results'!$A:$A, 0))/INDEX('Summary of Results'!$G:$G, MATCH($B218, 'Summary of Results'!$A:$A, 0)) - 1)*100), NA()))</f>
        <v>518.01472920537856</v>
      </c>
      <c r="H218" s="908">
        <f ca="1">IF(IFERROR(IF($C$155 = "Absolute", INDEX('Summary of Results'!K:K, MATCH($B218, 'Summary of Results'!$A:$A, 0)), (INDEX('Summary of Results'!K:K, MATCH($B218, 'Summary of Results'!$A:$A, 0))/INDEX('Summary of Results'!$G:$G, MATCH($B218, 'Summary of Results'!$A:$A, 0)) - 1)*100), NA()) = "", "", IFERROR(IF($C$155 = "Absolute", INDEX('Summary of Results'!K:K, MATCH($B218, 'Summary of Results'!$A:$A, 0)), (INDEX('Summary of Results'!K:K, MATCH($B218, 'Summary of Results'!$A:$A, 0))/INDEX('Summary of Results'!$G:$G, MATCH($B218, 'Summary of Results'!$A:$A, 0)) - 1)*100), NA()))</f>
        <v>518.01472920537856</v>
      </c>
      <c r="I218" s="908">
        <f ca="1">IF(IFERROR(IF($C$155 = "Absolute", INDEX('Summary of Results'!L:L, MATCH($B218, 'Summary of Results'!$A:$A, 0)), (INDEX('Summary of Results'!L:L, MATCH($B218, 'Summary of Results'!$A:$A, 0))/INDEX('Summary of Results'!$G:$G, MATCH($B218, 'Summary of Results'!$A:$A, 0)) - 1)*100), NA()) = "", "", IFERROR(IF($C$155 = "Absolute", INDEX('Summary of Results'!L:L, MATCH($B218, 'Summary of Results'!$A:$A, 0)), (INDEX('Summary of Results'!L:L, MATCH($B218, 'Summary of Results'!$A:$A, 0))/INDEX('Summary of Results'!$G:$G, MATCH($B218, 'Summary of Results'!$A:$A, 0)) - 1)*100), NA()))</f>
        <v>518.01472920537856</v>
      </c>
      <c r="J218" s="908">
        <f ca="1">IF(IFERROR(IF($C$155 = "Absolute", INDEX('Summary of Results'!M:M, MATCH($B218, 'Summary of Results'!$A:$A, 0)), (INDEX('Summary of Results'!M:M, MATCH($B218, 'Summary of Results'!$A:$A, 0))/INDEX('Summary of Results'!$G:$G, MATCH($B218, 'Summary of Results'!$A:$A, 0)) - 1)*100), NA()) = "", "", IFERROR(IF($C$155 = "Absolute", INDEX('Summary of Results'!M:M, MATCH($B218, 'Summary of Results'!$A:$A, 0)), (INDEX('Summary of Results'!M:M, MATCH($B218, 'Summary of Results'!$A:$A, 0))/INDEX('Summary of Results'!$G:$G, MATCH($B218, 'Summary of Results'!$A:$A, 0)) - 1)*100), NA()))</f>
        <v>518.01472920537856</v>
      </c>
      <c r="K218"/>
      <c r="L218"/>
      <c r="M218" s="8"/>
      <c r="N218"/>
      <c r="O218"/>
      <c r="P218"/>
      <c r="Q218"/>
      <c r="R218"/>
      <c r="S218"/>
      <c r="T218"/>
      <c r="U218"/>
      <c r="V218" s="1078"/>
      <c r="W218" s="1078"/>
      <c r="X218" s="1078"/>
      <c r="Y218" s="1078"/>
      <c r="Z218" s="1078"/>
      <c r="AA218" s="1078"/>
      <c r="AB218" s="1078"/>
      <c r="AC218"/>
      <c r="AD218"/>
      <c r="AE218"/>
      <c r="AF218"/>
      <c r="AG218"/>
      <c r="AH218"/>
      <c r="AI218"/>
      <c r="AJ218"/>
      <c r="AK218"/>
      <c r="AL218"/>
      <c r="AM218"/>
      <c r="AN218"/>
      <c r="AO218"/>
    </row>
    <row r="219" spans="1:41" outlineLevel="2" x14ac:dyDescent="0.2">
      <c r="A219" s="6"/>
      <c r="B219" s="27">
        <v>19</v>
      </c>
      <c r="C219" s="907" t="str">
        <f>IFERROR(INDEX('Summary of Results'!$B:$B, MATCH(B219, 'Summary of Results'!$A:$A, 0)), NA())</f>
        <v>Cell specific energy, Wh/kg</v>
      </c>
      <c r="D219" s="908">
        <f ca="1">IF(IFERROR(IF($C$155 = "Absolute", INDEX('Summary of Results'!G:G, MATCH($B219, 'Summary of Results'!$A:$A, 0)), (INDEX('Summary of Results'!G:G, MATCH($B219, 'Summary of Results'!$A:$A, 0))/INDEX('Summary of Results'!$G:$G, MATCH($B219, 'Summary of Results'!$A:$A, 0)) - 1)*100), NA()) = "", "", IFERROR(IF($C$155 = "Absolute", INDEX('Summary of Results'!G:G, MATCH($B219, 'Summary of Results'!$A:$A, 0)), (INDEX('Summary of Results'!G:G, MATCH($B219, 'Summary of Results'!$A:$A, 0))/INDEX('Summary of Results'!$G:$G, MATCH($B219, 'Summary of Results'!$A:$A, 0)) - 1)*100), NA()))</f>
        <v>268.88220032304349</v>
      </c>
      <c r="E219" s="908">
        <f ca="1">IF(IFERROR(IF($C$155 = "Absolute", INDEX('Summary of Results'!H:H, MATCH($B219, 'Summary of Results'!$A:$A, 0)), (INDEX('Summary of Results'!H:H, MATCH($B219, 'Summary of Results'!$A:$A, 0))/INDEX('Summary of Results'!$G:$G, MATCH($B219, 'Summary of Results'!$A:$A, 0)) - 1)*100), NA()) = "", "", IFERROR(IF($C$155 = "Absolute", INDEX('Summary of Results'!H:H, MATCH($B219, 'Summary of Results'!$A:$A, 0)), (INDEX('Summary of Results'!H:H, MATCH($B219, 'Summary of Results'!$A:$A, 0))/INDEX('Summary of Results'!$G:$G, MATCH($B219, 'Summary of Results'!$A:$A, 0)) - 1)*100), NA()))</f>
        <v>268.88220032304349</v>
      </c>
      <c r="F219" s="908">
        <f ca="1">IF(IFERROR(IF($C$155 = "Absolute", INDEX('Summary of Results'!I:I, MATCH($B219, 'Summary of Results'!$A:$A, 0)), (INDEX('Summary of Results'!I:I, MATCH($B219, 'Summary of Results'!$A:$A, 0))/INDEX('Summary of Results'!$G:$G, MATCH($B219, 'Summary of Results'!$A:$A, 0)) - 1)*100), NA()) = "", "", IFERROR(IF($C$155 = "Absolute", INDEX('Summary of Results'!I:I, MATCH($B219, 'Summary of Results'!$A:$A, 0)), (INDEX('Summary of Results'!I:I, MATCH($B219, 'Summary of Results'!$A:$A, 0))/INDEX('Summary of Results'!$G:$G, MATCH($B219, 'Summary of Results'!$A:$A, 0)) - 1)*100), NA()))</f>
        <v>268.88220032304349</v>
      </c>
      <c r="G219" s="908">
        <f ca="1">IF(IFERROR(IF($C$155 = "Absolute", INDEX('Summary of Results'!J:J, MATCH($B219, 'Summary of Results'!$A:$A, 0)), (INDEX('Summary of Results'!J:J, MATCH($B219, 'Summary of Results'!$A:$A, 0))/INDEX('Summary of Results'!$G:$G, MATCH($B219, 'Summary of Results'!$A:$A, 0)) - 1)*100), NA()) = "", "", IFERROR(IF($C$155 = "Absolute", INDEX('Summary of Results'!J:J, MATCH($B219, 'Summary of Results'!$A:$A, 0)), (INDEX('Summary of Results'!J:J, MATCH($B219, 'Summary of Results'!$A:$A, 0))/INDEX('Summary of Results'!$G:$G, MATCH($B219, 'Summary of Results'!$A:$A, 0)) - 1)*100), NA()))</f>
        <v>268.88220032304349</v>
      </c>
      <c r="H219" s="908">
        <f ca="1">IF(IFERROR(IF($C$155 = "Absolute", INDEX('Summary of Results'!K:K, MATCH($B219, 'Summary of Results'!$A:$A, 0)), (INDEX('Summary of Results'!K:K, MATCH($B219, 'Summary of Results'!$A:$A, 0))/INDEX('Summary of Results'!$G:$G, MATCH($B219, 'Summary of Results'!$A:$A, 0)) - 1)*100), NA()) = "", "", IFERROR(IF($C$155 = "Absolute", INDEX('Summary of Results'!K:K, MATCH($B219, 'Summary of Results'!$A:$A, 0)), (INDEX('Summary of Results'!K:K, MATCH($B219, 'Summary of Results'!$A:$A, 0))/INDEX('Summary of Results'!$G:$G, MATCH($B219, 'Summary of Results'!$A:$A, 0)) - 1)*100), NA()))</f>
        <v>268.88220032304349</v>
      </c>
      <c r="I219" s="908">
        <f ca="1">IF(IFERROR(IF($C$155 = "Absolute", INDEX('Summary of Results'!L:L, MATCH($B219, 'Summary of Results'!$A:$A, 0)), (INDEX('Summary of Results'!L:L, MATCH($B219, 'Summary of Results'!$A:$A, 0))/INDEX('Summary of Results'!$G:$G, MATCH($B219, 'Summary of Results'!$A:$A, 0)) - 1)*100), NA()) = "", "", IFERROR(IF($C$155 = "Absolute", INDEX('Summary of Results'!L:L, MATCH($B219, 'Summary of Results'!$A:$A, 0)), (INDEX('Summary of Results'!L:L, MATCH($B219, 'Summary of Results'!$A:$A, 0))/INDEX('Summary of Results'!$G:$G, MATCH($B219, 'Summary of Results'!$A:$A, 0)) - 1)*100), NA()))</f>
        <v>268.88220032304349</v>
      </c>
      <c r="J219" s="908">
        <f ca="1">IF(IFERROR(IF($C$155 = "Absolute", INDEX('Summary of Results'!M:M, MATCH($B219, 'Summary of Results'!$A:$A, 0)), (INDEX('Summary of Results'!M:M, MATCH($B219, 'Summary of Results'!$A:$A, 0))/INDEX('Summary of Results'!$G:$G, MATCH($B219, 'Summary of Results'!$A:$A, 0)) - 1)*100), NA()) = "", "", IFERROR(IF($C$155 = "Absolute", INDEX('Summary of Results'!M:M, MATCH($B219, 'Summary of Results'!$A:$A, 0)), (INDEX('Summary of Results'!M:M, MATCH($B219, 'Summary of Results'!$A:$A, 0))/INDEX('Summary of Results'!$G:$G, MATCH($B219, 'Summary of Results'!$A:$A, 0)) - 1)*100), NA()))</f>
        <v>268.88220032304349</v>
      </c>
      <c r="K219"/>
      <c r="L219"/>
      <c r="M219" s="8"/>
      <c r="N219"/>
      <c r="O219"/>
      <c r="P219"/>
      <c r="Q219"/>
      <c r="R219"/>
      <c r="S219"/>
      <c r="T219"/>
      <c r="U219"/>
      <c r="V219" s="1078"/>
      <c r="W219" s="1078"/>
      <c r="X219" s="1078"/>
      <c r="Y219" s="1078"/>
      <c r="Z219" s="1078"/>
      <c r="AA219" s="1078"/>
      <c r="AB219" s="1078"/>
      <c r="AC219"/>
      <c r="AD219"/>
      <c r="AE219"/>
      <c r="AF219"/>
      <c r="AG219"/>
      <c r="AH219"/>
      <c r="AI219"/>
      <c r="AJ219"/>
      <c r="AK219"/>
      <c r="AL219"/>
      <c r="AM219"/>
      <c r="AN219"/>
      <c r="AO219"/>
    </row>
    <row r="220" spans="1:41" outlineLevel="2" x14ac:dyDescent="0.2">
      <c r="A220" s="6"/>
      <c r="B220" s="27">
        <v>20</v>
      </c>
      <c r="C220" s="907" t="str">
        <f>IFERROR(INDEX('Summary of Results'!$B:$B, MATCH(B220, 'Summary of Results'!$A:$A, 0)), NA())</f>
        <v>Pack cost, $/pack</v>
      </c>
      <c r="D220" s="908">
        <f ca="1">IF(IFERROR(IF($C$155 = "Absolute", INDEX('Summary of Results'!G:G, MATCH($B220, 'Summary of Results'!$A:$A, 0)), (INDEX('Summary of Results'!G:G, MATCH($B220, 'Summary of Results'!$A:$A, 0))/INDEX('Summary of Results'!$G:$G, MATCH($B220, 'Summary of Results'!$A:$A, 0)) - 1)*100), NA()) = "", "", IFERROR(IF($C$155 = "Absolute", INDEX('Summary of Results'!G:G, MATCH($B220, 'Summary of Results'!$A:$A, 0)), (INDEX('Summary of Results'!G:G, MATCH($B220, 'Summary of Results'!$A:$A, 0))/INDEX('Summary of Results'!$G:$G, MATCH($B220, 'Summary of Results'!$A:$A, 0)) - 1)*100), NA()))</f>
        <v>12327.92974691336</v>
      </c>
      <c r="E220" s="908">
        <f ca="1">IF(IFERROR(IF($C$155 = "Absolute", INDEX('Summary of Results'!H:H, MATCH($B220, 'Summary of Results'!$A:$A, 0)), (INDEX('Summary of Results'!H:H, MATCH($B220, 'Summary of Results'!$A:$A, 0))/INDEX('Summary of Results'!$G:$G, MATCH($B220, 'Summary of Results'!$A:$A, 0)) - 1)*100), NA()) = "", "", IFERROR(IF($C$155 = "Absolute", INDEX('Summary of Results'!H:H, MATCH($B220, 'Summary of Results'!$A:$A, 0)), (INDEX('Summary of Results'!H:H, MATCH($B220, 'Summary of Results'!$A:$A, 0))/INDEX('Summary of Results'!$G:$G, MATCH($B220, 'Summary of Results'!$A:$A, 0)) - 1)*100), NA()))</f>
        <v>12327.92974691336</v>
      </c>
      <c r="F220" s="908">
        <f ca="1">IF(IFERROR(IF($C$155 = "Absolute", INDEX('Summary of Results'!I:I, MATCH($B220, 'Summary of Results'!$A:$A, 0)), (INDEX('Summary of Results'!I:I, MATCH($B220, 'Summary of Results'!$A:$A, 0))/INDEX('Summary of Results'!$G:$G, MATCH($B220, 'Summary of Results'!$A:$A, 0)) - 1)*100), NA()) = "", "", IFERROR(IF($C$155 = "Absolute", INDEX('Summary of Results'!I:I, MATCH($B220, 'Summary of Results'!$A:$A, 0)), (INDEX('Summary of Results'!I:I, MATCH($B220, 'Summary of Results'!$A:$A, 0))/INDEX('Summary of Results'!$G:$G, MATCH($B220, 'Summary of Results'!$A:$A, 0)) - 1)*100), NA()))</f>
        <v>12327.92974691336</v>
      </c>
      <c r="G220" s="908">
        <f ca="1">IF(IFERROR(IF($C$155 = "Absolute", INDEX('Summary of Results'!J:J, MATCH($B220, 'Summary of Results'!$A:$A, 0)), (INDEX('Summary of Results'!J:J, MATCH($B220, 'Summary of Results'!$A:$A, 0))/INDEX('Summary of Results'!$G:$G, MATCH($B220, 'Summary of Results'!$A:$A, 0)) - 1)*100), NA()) = "", "", IFERROR(IF($C$155 = "Absolute", INDEX('Summary of Results'!J:J, MATCH($B220, 'Summary of Results'!$A:$A, 0)), (INDEX('Summary of Results'!J:J, MATCH($B220, 'Summary of Results'!$A:$A, 0))/INDEX('Summary of Results'!$G:$G, MATCH($B220, 'Summary of Results'!$A:$A, 0)) - 1)*100), NA()))</f>
        <v>12327.92974691336</v>
      </c>
      <c r="H220" s="908">
        <f ca="1">IF(IFERROR(IF($C$155 = "Absolute", INDEX('Summary of Results'!K:K, MATCH($B220, 'Summary of Results'!$A:$A, 0)), (INDEX('Summary of Results'!K:K, MATCH($B220, 'Summary of Results'!$A:$A, 0))/INDEX('Summary of Results'!$G:$G, MATCH($B220, 'Summary of Results'!$A:$A, 0)) - 1)*100), NA()) = "", "", IFERROR(IF($C$155 = "Absolute", INDEX('Summary of Results'!K:K, MATCH($B220, 'Summary of Results'!$A:$A, 0)), (INDEX('Summary of Results'!K:K, MATCH($B220, 'Summary of Results'!$A:$A, 0))/INDEX('Summary of Results'!$G:$G, MATCH($B220, 'Summary of Results'!$A:$A, 0)) - 1)*100), NA()))</f>
        <v>12327.92974691336</v>
      </c>
      <c r="I220" s="908">
        <f ca="1">IF(IFERROR(IF($C$155 = "Absolute", INDEX('Summary of Results'!L:L, MATCH($B220, 'Summary of Results'!$A:$A, 0)), (INDEX('Summary of Results'!L:L, MATCH($B220, 'Summary of Results'!$A:$A, 0))/INDEX('Summary of Results'!$G:$G, MATCH($B220, 'Summary of Results'!$A:$A, 0)) - 1)*100), NA()) = "", "", IFERROR(IF($C$155 = "Absolute", INDEX('Summary of Results'!L:L, MATCH($B220, 'Summary of Results'!$A:$A, 0)), (INDEX('Summary of Results'!L:L, MATCH($B220, 'Summary of Results'!$A:$A, 0))/INDEX('Summary of Results'!$G:$G, MATCH($B220, 'Summary of Results'!$A:$A, 0)) - 1)*100), NA()))</f>
        <v>12327.92974691336</v>
      </c>
      <c r="J220" s="908">
        <f ca="1">IF(IFERROR(IF($C$155 = "Absolute", INDEX('Summary of Results'!M:M, MATCH($B220, 'Summary of Results'!$A:$A, 0)), (INDEX('Summary of Results'!M:M, MATCH($B220, 'Summary of Results'!$A:$A, 0))/INDEX('Summary of Results'!$G:$G, MATCH($B220, 'Summary of Results'!$A:$A, 0)) - 1)*100), NA()) = "", "", IFERROR(IF($C$155 = "Absolute", INDEX('Summary of Results'!M:M, MATCH($B220, 'Summary of Results'!$A:$A, 0)), (INDEX('Summary of Results'!M:M, MATCH($B220, 'Summary of Results'!$A:$A, 0))/INDEX('Summary of Results'!$G:$G, MATCH($B220, 'Summary of Results'!$A:$A, 0)) - 1)*100), NA()))</f>
        <v>12327.92974691336</v>
      </c>
      <c r="K220"/>
      <c r="L220" s="61"/>
      <c r="M220" s="8"/>
      <c r="N220"/>
      <c r="O220"/>
      <c r="P220"/>
      <c r="Q220"/>
      <c r="R220"/>
      <c r="S220"/>
      <c r="T220"/>
      <c r="U220"/>
      <c r="V220" s="1078"/>
      <c r="W220" s="1078"/>
      <c r="X220" s="1078"/>
      <c r="Y220" s="1078"/>
      <c r="Z220" s="1078"/>
      <c r="AA220" s="1078"/>
      <c r="AB220" s="1078"/>
      <c r="AC220"/>
      <c r="AD220"/>
      <c r="AE220"/>
      <c r="AF220"/>
      <c r="AG220"/>
      <c r="AH220"/>
      <c r="AI220"/>
      <c r="AJ220"/>
      <c r="AK220"/>
      <c r="AL220"/>
      <c r="AM220"/>
      <c r="AN220"/>
      <c r="AO220"/>
    </row>
    <row r="221" spans="1:41" outlineLevel="2" x14ac:dyDescent="0.2">
      <c r="A221" s="6"/>
      <c r="B221" s="27">
        <v>21</v>
      </c>
      <c r="C221" s="907" t="str">
        <f>IFERROR(INDEX('Summary of Results'!$B:$B, MATCH(B221, 'Summary of Results'!$A:$A, 0)), NA())</f>
        <v>Pack cost, $/kWh</v>
      </c>
      <c r="D221" s="908">
        <f ca="1">IF(IFERROR(IF($C$155 = "Absolute", INDEX('Summary of Results'!G:G, MATCH($B221, 'Summary of Results'!$A:$A, 0)), (INDEX('Summary of Results'!G:G, MATCH($B221, 'Summary of Results'!$A:$A, 0))/INDEX('Summary of Results'!$G:$G, MATCH($B221, 'Summary of Results'!$A:$A, 0)) - 1)*100), NA()) = "", "", IFERROR(IF($C$155 = "Absolute", INDEX('Summary of Results'!G:G, MATCH($B221, 'Summary of Results'!$A:$A, 0)), (INDEX('Summary of Results'!G:G, MATCH($B221, 'Summary of Results'!$A:$A, 0))/INDEX('Summary of Results'!$G:$G, MATCH($B221, 'Summary of Results'!$A:$A, 0)) - 1)*100), NA()))</f>
        <v>123.27929746911174</v>
      </c>
      <c r="E221" s="908">
        <f ca="1">IF(IFERROR(IF($C$155 = "Absolute", INDEX('Summary of Results'!H:H, MATCH($B221, 'Summary of Results'!$A:$A, 0)), (INDEX('Summary of Results'!H:H, MATCH($B221, 'Summary of Results'!$A:$A, 0))/INDEX('Summary of Results'!$G:$G, MATCH($B221, 'Summary of Results'!$A:$A, 0)) - 1)*100), NA()) = "", "", IFERROR(IF($C$155 = "Absolute", INDEX('Summary of Results'!H:H, MATCH($B221, 'Summary of Results'!$A:$A, 0)), (INDEX('Summary of Results'!H:H, MATCH($B221, 'Summary of Results'!$A:$A, 0))/INDEX('Summary of Results'!$G:$G, MATCH($B221, 'Summary of Results'!$A:$A, 0)) - 1)*100), NA()))</f>
        <v>123.27929746911174</v>
      </c>
      <c r="F221" s="908">
        <f ca="1">IF(IFERROR(IF($C$155 = "Absolute", INDEX('Summary of Results'!I:I, MATCH($B221, 'Summary of Results'!$A:$A, 0)), (INDEX('Summary of Results'!I:I, MATCH($B221, 'Summary of Results'!$A:$A, 0))/INDEX('Summary of Results'!$G:$G, MATCH($B221, 'Summary of Results'!$A:$A, 0)) - 1)*100), NA()) = "", "", IFERROR(IF($C$155 = "Absolute", INDEX('Summary of Results'!I:I, MATCH($B221, 'Summary of Results'!$A:$A, 0)), (INDEX('Summary of Results'!I:I, MATCH($B221, 'Summary of Results'!$A:$A, 0))/INDEX('Summary of Results'!$G:$G, MATCH($B221, 'Summary of Results'!$A:$A, 0)) - 1)*100), NA()))</f>
        <v>123.27929746911174</v>
      </c>
      <c r="G221" s="908">
        <f ca="1">IF(IFERROR(IF($C$155 = "Absolute", INDEX('Summary of Results'!J:J, MATCH($B221, 'Summary of Results'!$A:$A, 0)), (INDEX('Summary of Results'!J:J, MATCH($B221, 'Summary of Results'!$A:$A, 0))/INDEX('Summary of Results'!$G:$G, MATCH($B221, 'Summary of Results'!$A:$A, 0)) - 1)*100), NA()) = "", "", IFERROR(IF($C$155 = "Absolute", INDEX('Summary of Results'!J:J, MATCH($B221, 'Summary of Results'!$A:$A, 0)), (INDEX('Summary of Results'!J:J, MATCH($B221, 'Summary of Results'!$A:$A, 0))/INDEX('Summary of Results'!$G:$G, MATCH($B221, 'Summary of Results'!$A:$A, 0)) - 1)*100), NA()))</f>
        <v>123.27929746911174</v>
      </c>
      <c r="H221" s="908">
        <f ca="1">IF(IFERROR(IF($C$155 = "Absolute", INDEX('Summary of Results'!K:K, MATCH($B221, 'Summary of Results'!$A:$A, 0)), (INDEX('Summary of Results'!K:K, MATCH($B221, 'Summary of Results'!$A:$A, 0))/INDEX('Summary of Results'!$G:$G, MATCH($B221, 'Summary of Results'!$A:$A, 0)) - 1)*100), NA()) = "", "", IFERROR(IF($C$155 = "Absolute", INDEX('Summary of Results'!K:K, MATCH($B221, 'Summary of Results'!$A:$A, 0)), (INDEX('Summary of Results'!K:K, MATCH($B221, 'Summary of Results'!$A:$A, 0))/INDEX('Summary of Results'!$G:$G, MATCH($B221, 'Summary of Results'!$A:$A, 0)) - 1)*100), NA()))</f>
        <v>123.27929746911174</v>
      </c>
      <c r="I221" s="908">
        <f ca="1">IF(IFERROR(IF($C$155 = "Absolute", INDEX('Summary of Results'!L:L, MATCH($B221, 'Summary of Results'!$A:$A, 0)), (INDEX('Summary of Results'!L:L, MATCH($B221, 'Summary of Results'!$A:$A, 0))/INDEX('Summary of Results'!$G:$G, MATCH($B221, 'Summary of Results'!$A:$A, 0)) - 1)*100), NA()) = "", "", IFERROR(IF($C$155 = "Absolute", INDEX('Summary of Results'!L:L, MATCH($B221, 'Summary of Results'!$A:$A, 0)), (INDEX('Summary of Results'!L:L, MATCH($B221, 'Summary of Results'!$A:$A, 0))/INDEX('Summary of Results'!$G:$G, MATCH($B221, 'Summary of Results'!$A:$A, 0)) - 1)*100), NA()))</f>
        <v>123.27929746911174</v>
      </c>
      <c r="J221" s="908">
        <f ca="1">IF(IFERROR(IF($C$155 = "Absolute", INDEX('Summary of Results'!M:M, MATCH($B221, 'Summary of Results'!$A:$A, 0)), (INDEX('Summary of Results'!M:M, MATCH($B221, 'Summary of Results'!$A:$A, 0))/INDEX('Summary of Results'!$G:$G, MATCH($B221, 'Summary of Results'!$A:$A, 0)) - 1)*100), NA()) = "", "", IFERROR(IF($C$155 = "Absolute", INDEX('Summary of Results'!M:M, MATCH($B221, 'Summary of Results'!$A:$A, 0)), (INDEX('Summary of Results'!M:M, MATCH($B221, 'Summary of Results'!$A:$A, 0))/INDEX('Summary of Results'!$G:$G, MATCH($B221, 'Summary of Results'!$A:$A, 0)) - 1)*100), NA()))</f>
        <v>123.27929746911174</v>
      </c>
      <c r="K221"/>
      <c r="L221"/>
      <c r="M221" s="8"/>
      <c r="N221"/>
      <c r="O221"/>
      <c r="P221"/>
      <c r="Q221"/>
      <c r="R221"/>
      <c r="S221"/>
      <c r="T221"/>
      <c r="U221"/>
      <c r="V221" s="1078"/>
      <c r="W221" s="1078"/>
      <c r="X221" s="1078"/>
      <c r="Y221" s="1078"/>
      <c r="Z221" s="1078"/>
      <c r="AA221" s="1078"/>
      <c r="AB221" s="1078"/>
      <c r="AC221"/>
      <c r="AD221"/>
      <c r="AE221"/>
      <c r="AF221"/>
      <c r="AG221"/>
      <c r="AH221"/>
      <c r="AI221"/>
      <c r="AJ221"/>
      <c r="AK221"/>
      <c r="AL221"/>
      <c r="AM221"/>
      <c r="AN221"/>
      <c r="AO221"/>
    </row>
    <row r="222" spans="1:41" outlineLevel="2" x14ac:dyDescent="0.2">
      <c r="A222"/>
      <c r="B222" s="27">
        <v>22</v>
      </c>
      <c r="C222" s="907" t="str">
        <f>IFERROR(INDEX('Summary of Results'!$B:$B, MATCH(B222, 'Summary of Results'!$A:$A, 0)), NA())</f>
        <v>Pack cost, $/kWh(Useable)</v>
      </c>
      <c r="D222" s="908">
        <f ca="1">IF(IFERROR(IF($C$155 = "Absolute", INDEX('Summary of Results'!G:G, MATCH($B222, 'Summary of Results'!$A:$A, 0)), (INDEX('Summary of Results'!G:G, MATCH($B222, 'Summary of Results'!$A:$A, 0))/INDEX('Summary of Results'!$G:$G, MATCH($B222, 'Summary of Results'!$A:$A, 0)) - 1)*100), NA()) = "", "", IFERROR(IF($C$155 = "Absolute", INDEX('Summary of Results'!G:G, MATCH($B222, 'Summary of Results'!$A:$A, 0)), (INDEX('Summary of Results'!G:G, MATCH($B222, 'Summary of Results'!$A:$A, 0))/INDEX('Summary of Results'!$G:$G, MATCH($B222, 'Summary of Results'!$A:$A, 0)) - 1)*100), NA()))</f>
        <v>145.03446761071967</v>
      </c>
      <c r="E222" s="908">
        <f ca="1">IF(IFERROR(IF($C$155 = "Absolute", INDEX('Summary of Results'!H:H, MATCH($B222, 'Summary of Results'!$A:$A, 0)), (INDEX('Summary of Results'!H:H, MATCH($B222, 'Summary of Results'!$A:$A, 0))/INDEX('Summary of Results'!$G:$G, MATCH($B222, 'Summary of Results'!$A:$A, 0)) - 1)*100), NA()) = "", "", IFERROR(IF($C$155 = "Absolute", INDEX('Summary of Results'!H:H, MATCH($B222, 'Summary of Results'!$A:$A, 0)), (INDEX('Summary of Results'!H:H, MATCH($B222, 'Summary of Results'!$A:$A, 0))/INDEX('Summary of Results'!$G:$G, MATCH($B222, 'Summary of Results'!$A:$A, 0)) - 1)*100), NA()))</f>
        <v>145.03446761071967</v>
      </c>
      <c r="F222" s="908">
        <f ca="1">IF(IFERROR(IF($C$155 = "Absolute", INDEX('Summary of Results'!I:I, MATCH($B222, 'Summary of Results'!$A:$A, 0)), (INDEX('Summary of Results'!I:I, MATCH($B222, 'Summary of Results'!$A:$A, 0))/INDEX('Summary of Results'!$G:$G, MATCH($B222, 'Summary of Results'!$A:$A, 0)) - 1)*100), NA()) = "", "", IFERROR(IF($C$155 = "Absolute", INDEX('Summary of Results'!I:I, MATCH($B222, 'Summary of Results'!$A:$A, 0)), (INDEX('Summary of Results'!I:I, MATCH($B222, 'Summary of Results'!$A:$A, 0))/INDEX('Summary of Results'!$G:$G, MATCH($B222, 'Summary of Results'!$A:$A, 0)) - 1)*100), NA()))</f>
        <v>145.03446761071967</v>
      </c>
      <c r="G222" s="908">
        <f ca="1">IF(IFERROR(IF($C$155 = "Absolute", INDEX('Summary of Results'!J:J, MATCH($B222, 'Summary of Results'!$A:$A, 0)), (INDEX('Summary of Results'!J:J, MATCH($B222, 'Summary of Results'!$A:$A, 0))/INDEX('Summary of Results'!$G:$G, MATCH($B222, 'Summary of Results'!$A:$A, 0)) - 1)*100), NA()) = "", "", IFERROR(IF($C$155 = "Absolute", INDEX('Summary of Results'!J:J, MATCH($B222, 'Summary of Results'!$A:$A, 0)), (INDEX('Summary of Results'!J:J, MATCH($B222, 'Summary of Results'!$A:$A, 0))/INDEX('Summary of Results'!$G:$G, MATCH($B222, 'Summary of Results'!$A:$A, 0)) - 1)*100), NA()))</f>
        <v>145.03446761071967</v>
      </c>
      <c r="H222" s="908">
        <f ca="1">IF(IFERROR(IF($C$155 = "Absolute", INDEX('Summary of Results'!K:K, MATCH($B222, 'Summary of Results'!$A:$A, 0)), (INDEX('Summary of Results'!K:K, MATCH($B222, 'Summary of Results'!$A:$A, 0))/INDEX('Summary of Results'!$G:$G, MATCH($B222, 'Summary of Results'!$A:$A, 0)) - 1)*100), NA()) = "", "", IFERROR(IF($C$155 = "Absolute", INDEX('Summary of Results'!K:K, MATCH($B222, 'Summary of Results'!$A:$A, 0)), (INDEX('Summary of Results'!K:K, MATCH($B222, 'Summary of Results'!$A:$A, 0))/INDEX('Summary of Results'!$G:$G, MATCH($B222, 'Summary of Results'!$A:$A, 0)) - 1)*100), NA()))</f>
        <v>145.03446761071967</v>
      </c>
      <c r="I222" s="908">
        <f ca="1">IF(IFERROR(IF($C$155 = "Absolute", INDEX('Summary of Results'!L:L, MATCH($B222, 'Summary of Results'!$A:$A, 0)), (INDEX('Summary of Results'!L:L, MATCH($B222, 'Summary of Results'!$A:$A, 0))/INDEX('Summary of Results'!$G:$G, MATCH($B222, 'Summary of Results'!$A:$A, 0)) - 1)*100), NA()) = "", "", IFERROR(IF($C$155 = "Absolute", INDEX('Summary of Results'!L:L, MATCH($B222, 'Summary of Results'!$A:$A, 0)), (INDEX('Summary of Results'!L:L, MATCH($B222, 'Summary of Results'!$A:$A, 0))/INDEX('Summary of Results'!$G:$G, MATCH($B222, 'Summary of Results'!$A:$A, 0)) - 1)*100), NA()))</f>
        <v>145.03446761071967</v>
      </c>
      <c r="J222" s="908">
        <f ca="1">IF(IFERROR(IF($C$155 = "Absolute", INDEX('Summary of Results'!M:M, MATCH($B222, 'Summary of Results'!$A:$A, 0)), (INDEX('Summary of Results'!M:M, MATCH($B222, 'Summary of Results'!$A:$A, 0))/INDEX('Summary of Results'!$G:$G, MATCH($B222, 'Summary of Results'!$A:$A, 0)) - 1)*100), NA()) = "", "", IFERROR(IF($C$155 = "Absolute", INDEX('Summary of Results'!M:M, MATCH($B222, 'Summary of Results'!$A:$A, 0)), (INDEX('Summary of Results'!M:M, MATCH($B222, 'Summary of Results'!$A:$A, 0))/INDEX('Summary of Results'!$G:$G, MATCH($B222, 'Summary of Results'!$A:$A, 0)) - 1)*100), NA()))</f>
        <v>145.03446761071967</v>
      </c>
      <c r="K222"/>
      <c r="L222"/>
      <c r="M222" s="8"/>
      <c r="N222"/>
      <c r="O222"/>
      <c r="P222"/>
      <c r="Q222"/>
      <c r="R222"/>
      <c r="S222"/>
      <c r="T222"/>
      <c r="U222"/>
      <c r="V222" s="1078"/>
      <c r="W222" s="1078"/>
      <c r="X222" s="1078"/>
      <c r="Y222" s="1078"/>
      <c r="Z222" s="1078"/>
      <c r="AA222" s="1078"/>
      <c r="AB222" s="1078"/>
      <c r="AC222"/>
      <c r="AD222"/>
      <c r="AE222"/>
      <c r="AF222"/>
      <c r="AG222"/>
      <c r="AH222"/>
      <c r="AI222"/>
      <c r="AJ222"/>
      <c r="AK222"/>
      <c r="AL222"/>
      <c r="AM222"/>
      <c r="AN222"/>
      <c r="AO222"/>
    </row>
    <row r="223" spans="1:41" outlineLevel="2" x14ac:dyDescent="0.2">
      <c r="A223"/>
      <c r="B223" s="27">
        <v>23</v>
      </c>
      <c r="C223" s="907" t="str">
        <f>IFERROR(INDEX('Summary of Results'!$B:$B, MATCH(B223, 'Summary of Results'!$A:$A, 0)), NA())</f>
        <v>Cell cost, $/kWh</v>
      </c>
      <c r="D223" s="908">
        <f ca="1">IF(IFERROR(IF($C$155 = "Absolute", INDEX('Summary of Results'!G:G, MATCH($B223, 'Summary of Results'!$A:$A, 0)), (INDEX('Summary of Results'!G:G, MATCH($B223, 'Summary of Results'!$A:$A, 0))/INDEX('Summary of Results'!$G:$G, MATCH($B223, 'Summary of Results'!$A:$A, 0)) - 1)*100), NA()) = "", "", IFERROR(IF($C$155 = "Absolute", INDEX('Summary of Results'!G:G, MATCH($B223, 'Summary of Results'!$A:$A, 0)), (INDEX('Summary of Results'!G:G, MATCH($B223, 'Summary of Results'!$A:$A, 0))/INDEX('Summary of Results'!$G:$G, MATCH($B223, 'Summary of Results'!$A:$A, 0)) - 1)*100), NA()))</f>
        <v>103.46072748956738</v>
      </c>
      <c r="E223" s="908">
        <f ca="1">IF(IFERROR(IF($C$155 = "Absolute", INDEX('Summary of Results'!H:H, MATCH($B223, 'Summary of Results'!$A:$A, 0)), (INDEX('Summary of Results'!H:H, MATCH($B223, 'Summary of Results'!$A:$A, 0))/INDEX('Summary of Results'!$G:$G, MATCH($B223, 'Summary of Results'!$A:$A, 0)) - 1)*100), NA()) = "", "", IFERROR(IF($C$155 = "Absolute", INDEX('Summary of Results'!H:H, MATCH($B223, 'Summary of Results'!$A:$A, 0)), (INDEX('Summary of Results'!H:H, MATCH($B223, 'Summary of Results'!$A:$A, 0))/INDEX('Summary of Results'!$G:$G, MATCH($B223, 'Summary of Results'!$A:$A, 0)) - 1)*100), NA()))</f>
        <v>103.46072748956738</v>
      </c>
      <c r="F223" s="908">
        <f ca="1">IF(IFERROR(IF($C$155 = "Absolute", INDEX('Summary of Results'!I:I, MATCH($B223, 'Summary of Results'!$A:$A, 0)), (INDEX('Summary of Results'!I:I, MATCH($B223, 'Summary of Results'!$A:$A, 0))/INDEX('Summary of Results'!$G:$G, MATCH($B223, 'Summary of Results'!$A:$A, 0)) - 1)*100), NA()) = "", "", IFERROR(IF($C$155 = "Absolute", INDEX('Summary of Results'!I:I, MATCH($B223, 'Summary of Results'!$A:$A, 0)), (INDEX('Summary of Results'!I:I, MATCH($B223, 'Summary of Results'!$A:$A, 0))/INDEX('Summary of Results'!$G:$G, MATCH($B223, 'Summary of Results'!$A:$A, 0)) - 1)*100), NA()))</f>
        <v>103.46072748956738</v>
      </c>
      <c r="G223" s="908">
        <f ca="1">IF(IFERROR(IF($C$155 = "Absolute", INDEX('Summary of Results'!J:J, MATCH($B223, 'Summary of Results'!$A:$A, 0)), (INDEX('Summary of Results'!J:J, MATCH($B223, 'Summary of Results'!$A:$A, 0))/INDEX('Summary of Results'!$G:$G, MATCH($B223, 'Summary of Results'!$A:$A, 0)) - 1)*100), NA()) = "", "", IFERROR(IF($C$155 = "Absolute", INDEX('Summary of Results'!J:J, MATCH($B223, 'Summary of Results'!$A:$A, 0)), (INDEX('Summary of Results'!J:J, MATCH($B223, 'Summary of Results'!$A:$A, 0))/INDEX('Summary of Results'!$G:$G, MATCH($B223, 'Summary of Results'!$A:$A, 0)) - 1)*100), NA()))</f>
        <v>103.46072748956738</v>
      </c>
      <c r="H223" s="908">
        <f ca="1">IF(IFERROR(IF($C$155 = "Absolute", INDEX('Summary of Results'!K:K, MATCH($B223, 'Summary of Results'!$A:$A, 0)), (INDEX('Summary of Results'!K:K, MATCH($B223, 'Summary of Results'!$A:$A, 0))/INDEX('Summary of Results'!$G:$G, MATCH($B223, 'Summary of Results'!$A:$A, 0)) - 1)*100), NA()) = "", "", IFERROR(IF($C$155 = "Absolute", INDEX('Summary of Results'!K:K, MATCH($B223, 'Summary of Results'!$A:$A, 0)), (INDEX('Summary of Results'!K:K, MATCH($B223, 'Summary of Results'!$A:$A, 0))/INDEX('Summary of Results'!$G:$G, MATCH($B223, 'Summary of Results'!$A:$A, 0)) - 1)*100), NA()))</f>
        <v>103.46072748956738</v>
      </c>
      <c r="I223" s="908">
        <f ca="1">IF(IFERROR(IF($C$155 = "Absolute", INDEX('Summary of Results'!L:L, MATCH($B223, 'Summary of Results'!$A:$A, 0)), (INDEX('Summary of Results'!L:L, MATCH($B223, 'Summary of Results'!$A:$A, 0))/INDEX('Summary of Results'!$G:$G, MATCH($B223, 'Summary of Results'!$A:$A, 0)) - 1)*100), NA()) = "", "", IFERROR(IF($C$155 = "Absolute", INDEX('Summary of Results'!L:L, MATCH($B223, 'Summary of Results'!$A:$A, 0)), (INDEX('Summary of Results'!L:L, MATCH($B223, 'Summary of Results'!$A:$A, 0))/INDEX('Summary of Results'!$G:$G, MATCH($B223, 'Summary of Results'!$A:$A, 0)) - 1)*100), NA()))</f>
        <v>103.46072748956738</v>
      </c>
      <c r="J223" s="908">
        <f ca="1">IF(IFERROR(IF($C$155 = "Absolute", INDEX('Summary of Results'!M:M, MATCH($B223, 'Summary of Results'!$A:$A, 0)), (INDEX('Summary of Results'!M:M, MATCH($B223, 'Summary of Results'!$A:$A, 0))/INDEX('Summary of Results'!$G:$G, MATCH($B223, 'Summary of Results'!$A:$A, 0)) - 1)*100), NA()) = "", "", IFERROR(IF($C$155 = "Absolute", INDEX('Summary of Results'!M:M, MATCH($B223, 'Summary of Results'!$A:$A, 0)), (INDEX('Summary of Results'!M:M, MATCH($B223, 'Summary of Results'!$A:$A, 0))/INDEX('Summary of Results'!$G:$G, MATCH($B223, 'Summary of Results'!$A:$A, 0)) - 1)*100), NA()))</f>
        <v>103.46072748956738</v>
      </c>
      <c r="K223"/>
      <c r="L223"/>
      <c r="M223" s="8"/>
      <c r="N223"/>
      <c r="O223"/>
      <c r="P223"/>
      <c r="Q223"/>
      <c r="R223"/>
      <c r="S223"/>
      <c r="T223"/>
      <c r="U223"/>
      <c r="V223" s="1078"/>
      <c r="W223" s="1078"/>
      <c r="X223" s="1078"/>
      <c r="Y223" s="1078"/>
      <c r="Z223" s="1078"/>
      <c r="AA223" s="1078"/>
      <c r="AB223" s="1078"/>
      <c r="AC223"/>
      <c r="AD223"/>
      <c r="AE223"/>
      <c r="AF223"/>
      <c r="AG223"/>
      <c r="AH223"/>
      <c r="AI223"/>
      <c r="AJ223"/>
      <c r="AK223"/>
      <c r="AL223"/>
      <c r="AM223"/>
      <c r="AN223"/>
      <c r="AO223"/>
    </row>
    <row r="224" spans="1:41" outlineLevel="2" x14ac:dyDescent="0.2">
      <c r="A224"/>
      <c r="B224" s="27">
        <v>24</v>
      </c>
      <c r="C224" s="907" t="str">
        <f>IFERROR(INDEX('Summary of Results'!$B:$B, MATCH(B224, 'Summary of Results'!$A:$A, 0)), NA())</f>
        <v>Plant Size, GWh</v>
      </c>
      <c r="D224" s="908">
        <f ca="1">IF(IFERROR(IF($C$155 = "Absolute", INDEX('Summary of Results'!G:G, MATCH($B224, 'Summary of Results'!$A:$A, 0)), (INDEX('Summary of Results'!G:G, MATCH($B224, 'Summary of Results'!$A:$A, 0))/INDEX('Summary of Results'!$G:$G, MATCH($B224, 'Summary of Results'!$A:$A, 0)) - 1)*100), NA()) = "", "", IFERROR(IF($C$155 = "Absolute", INDEX('Summary of Results'!G:G, MATCH($B224, 'Summary of Results'!$A:$A, 0)), (INDEX('Summary of Results'!G:G, MATCH($B224, 'Summary of Results'!$A:$A, 0))/INDEX('Summary of Results'!$G:$G, MATCH($B224, 'Summary of Results'!$A:$A, 0)) - 1)*100), NA()))</f>
        <v>50.000000000008868</v>
      </c>
      <c r="E224" s="908">
        <f ca="1">IF(IFERROR(IF($C$155 = "Absolute", INDEX('Summary of Results'!H:H, MATCH($B224, 'Summary of Results'!$A:$A, 0)), (INDEX('Summary of Results'!H:H, MATCH($B224, 'Summary of Results'!$A:$A, 0))/INDEX('Summary of Results'!$G:$G, MATCH($B224, 'Summary of Results'!$A:$A, 0)) - 1)*100), NA()) = "", "", IFERROR(IF($C$155 = "Absolute", INDEX('Summary of Results'!H:H, MATCH($B224, 'Summary of Results'!$A:$A, 0)), (INDEX('Summary of Results'!H:H, MATCH($B224, 'Summary of Results'!$A:$A, 0))/INDEX('Summary of Results'!$G:$G, MATCH($B224, 'Summary of Results'!$A:$A, 0)) - 1)*100), NA()))</f>
        <v>50.000000000008868</v>
      </c>
      <c r="F224" s="908">
        <f ca="1">IF(IFERROR(IF($C$155 = "Absolute", INDEX('Summary of Results'!I:I, MATCH($B224, 'Summary of Results'!$A:$A, 0)), (INDEX('Summary of Results'!I:I, MATCH($B224, 'Summary of Results'!$A:$A, 0))/INDEX('Summary of Results'!$G:$G, MATCH($B224, 'Summary of Results'!$A:$A, 0)) - 1)*100), NA()) = "", "", IFERROR(IF($C$155 = "Absolute", INDEX('Summary of Results'!I:I, MATCH($B224, 'Summary of Results'!$A:$A, 0)), (INDEX('Summary of Results'!I:I, MATCH($B224, 'Summary of Results'!$A:$A, 0))/INDEX('Summary of Results'!$G:$G, MATCH($B224, 'Summary of Results'!$A:$A, 0)) - 1)*100), NA()))</f>
        <v>50.000000000008868</v>
      </c>
      <c r="G224" s="908">
        <f ca="1">IF(IFERROR(IF($C$155 = "Absolute", INDEX('Summary of Results'!J:J, MATCH($B224, 'Summary of Results'!$A:$A, 0)), (INDEX('Summary of Results'!J:J, MATCH($B224, 'Summary of Results'!$A:$A, 0))/INDEX('Summary of Results'!$G:$G, MATCH($B224, 'Summary of Results'!$A:$A, 0)) - 1)*100), NA()) = "", "", IFERROR(IF($C$155 = "Absolute", INDEX('Summary of Results'!J:J, MATCH($B224, 'Summary of Results'!$A:$A, 0)), (INDEX('Summary of Results'!J:J, MATCH($B224, 'Summary of Results'!$A:$A, 0))/INDEX('Summary of Results'!$G:$G, MATCH($B224, 'Summary of Results'!$A:$A, 0)) - 1)*100), NA()))</f>
        <v>50.000000000008868</v>
      </c>
      <c r="H224" s="908">
        <f ca="1">IF(IFERROR(IF($C$155 = "Absolute", INDEX('Summary of Results'!K:K, MATCH($B224, 'Summary of Results'!$A:$A, 0)), (INDEX('Summary of Results'!K:K, MATCH($B224, 'Summary of Results'!$A:$A, 0))/INDEX('Summary of Results'!$G:$G, MATCH($B224, 'Summary of Results'!$A:$A, 0)) - 1)*100), NA()) = "", "", IFERROR(IF($C$155 = "Absolute", INDEX('Summary of Results'!K:K, MATCH($B224, 'Summary of Results'!$A:$A, 0)), (INDEX('Summary of Results'!K:K, MATCH($B224, 'Summary of Results'!$A:$A, 0))/INDEX('Summary of Results'!$G:$G, MATCH($B224, 'Summary of Results'!$A:$A, 0)) - 1)*100), NA()))</f>
        <v>50.000000000008868</v>
      </c>
      <c r="I224" s="908">
        <f ca="1">IF(IFERROR(IF($C$155 = "Absolute", INDEX('Summary of Results'!L:L, MATCH($B224, 'Summary of Results'!$A:$A, 0)), (INDEX('Summary of Results'!L:L, MATCH($B224, 'Summary of Results'!$A:$A, 0))/INDEX('Summary of Results'!$G:$G, MATCH($B224, 'Summary of Results'!$A:$A, 0)) - 1)*100), NA()) = "", "", IFERROR(IF($C$155 = "Absolute", INDEX('Summary of Results'!L:L, MATCH($B224, 'Summary of Results'!$A:$A, 0)), (INDEX('Summary of Results'!L:L, MATCH($B224, 'Summary of Results'!$A:$A, 0))/INDEX('Summary of Results'!$G:$G, MATCH($B224, 'Summary of Results'!$A:$A, 0)) - 1)*100), NA()))</f>
        <v>50.000000000008868</v>
      </c>
      <c r="J224" s="908">
        <f ca="1">IF(IFERROR(IF($C$155 = "Absolute", INDEX('Summary of Results'!M:M, MATCH($B224, 'Summary of Results'!$A:$A, 0)), (INDEX('Summary of Results'!M:M, MATCH($B224, 'Summary of Results'!$A:$A, 0))/INDEX('Summary of Results'!$G:$G, MATCH($B224, 'Summary of Results'!$A:$A, 0)) - 1)*100), NA()) = "", "", IFERROR(IF($C$155 = "Absolute", INDEX('Summary of Results'!M:M, MATCH($B224, 'Summary of Results'!$A:$A, 0)), (INDEX('Summary of Results'!M:M, MATCH($B224, 'Summary of Results'!$A:$A, 0))/INDEX('Summary of Results'!$G:$G, MATCH($B224, 'Summary of Results'!$A:$A, 0)) - 1)*100), NA()))</f>
        <v>50.000000000008868</v>
      </c>
      <c r="K224"/>
      <c r="L224"/>
      <c r="M224" s="8"/>
      <c r="N224"/>
      <c r="O224"/>
      <c r="P224"/>
      <c r="Q224"/>
      <c r="R224"/>
      <c r="S224"/>
      <c r="T224"/>
      <c r="U224"/>
      <c r="V224" s="1078"/>
      <c r="W224" s="1078"/>
      <c r="X224" s="1078"/>
      <c r="Y224" s="1078"/>
      <c r="Z224" s="1078"/>
      <c r="AA224" s="1078"/>
      <c r="AB224" s="1078"/>
      <c r="AC224"/>
      <c r="AD224"/>
      <c r="AE224"/>
      <c r="AF224"/>
      <c r="AG224"/>
      <c r="AH224"/>
      <c r="AI224"/>
      <c r="AJ224"/>
      <c r="AK224"/>
      <c r="AL224"/>
      <c r="AM224"/>
      <c r="AN224"/>
      <c r="AO224"/>
    </row>
    <row r="225" spans="1:41" outlineLevel="2" x14ac:dyDescent="0.2">
      <c r="A225"/>
      <c r="B225" s="27">
        <v>25</v>
      </c>
      <c r="C225" s="907" t="str">
        <f>IFERROR(INDEX('Summary of Results'!$B:$B, MATCH(B225, 'Summary of Results'!$A:$A, 0)), NA())</f>
        <v>Packs manufactured per year (packs/year)</v>
      </c>
      <c r="D225" s="908">
        <f>IF(IFERROR(IF($C$155 = "Absolute", INDEX('Summary of Results'!G:G, MATCH($B225, 'Summary of Results'!$A:$A, 0)), (INDEX('Summary of Results'!G:G, MATCH($B225, 'Summary of Results'!$A:$A, 0))/INDEX('Summary of Results'!$G:$G, MATCH($B225, 'Summary of Results'!$A:$A, 0)) - 1)*100), NA()) = "", "", IFERROR(IF($C$155 = "Absolute", INDEX('Summary of Results'!G:G, MATCH($B225, 'Summary of Results'!$A:$A, 0)), (INDEX('Summary of Results'!G:G, MATCH($B225, 'Summary of Results'!$A:$A, 0))/INDEX('Summary of Results'!$G:$G, MATCH($B225, 'Summary of Results'!$A:$A, 0)) - 1)*100), NA()))</f>
        <v>500000</v>
      </c>
      <c r="E225" s="908">
        <f>IF(IFERROR(IF($C$155 = "Absolute", INDEX('Summary of Results'!H:H, MATCH($B225, 'Summary of Results'!$A:$A, 0)), (INDEX('Summary of Results'!H:H, MATCH($B225, 'Summary of Results'!$A:$A, 0))/INDEX('Summary of Results'!$G:$G, MATCH($B225, 'Summary of Results'!$A:$A, 0)) - 1)*100), NA()) = "", "", IFERROR(IF($C$155 = "Absolute", INDEX('Summary of Results'!H:H, MATCH($B225, 'Summary of Results'!$A:$A, 0)), (INDEX('Summary of Results'!H:H, MATCH($B225, 'Summary of Results'!$A:$A, 0))/INDEX('Summary of Results'!$G:$G, MATCH($B225, 'Summary of Results'!$A:$A, 0)) - 1)*100), NA()))</f>
        <v>500000</v>
      </c>
      <c r="F225" s="908">
        <f>IF(IFERROR(IF($C$155 = "Absolute", INDEX('Summary of Results'!I:I, MATCH($B225, 'Summary of Results'!$A:$A, 0)), (INDEX('Summary of Results'!I:I, MATCH($B225, 'Summary of Results'!$A:$A, 0))/INDEX('Summary of Results'!$G:$G, MATCH($B225, 'Summary of Results'!$A:$A, 0)) - 1)*100), NA()) = "", "", IFERROR(IF($C$155 = "Absolute", INDEX('Summary of Results'!I:I, MATCH($B225, 'Summary of Results'!$A:$A, 0)), (INDEX('Summary of Results'!I:I, MATCH($B225, 'Summary of Results'!$A:$A, 0))/INDEX('Summary of Results'!$G:$G, MATCH($B225, 'Summary of Results'!$A:$A, 0)) - 1)*100), NA()))</f>
        <v>500000</v>
      </c>
      <c r="G225" s="908">
        <f>IF(IFERROR(IF($C$155 = "Absolute", INDEX('Summary of Results'!J:J, MATCH($B225, 'Summary of Results'!$A:$A, 0)), (INDEX('Summary of Results'!J:J, MATCH($B225, 'Summary of Results'!$A:$A, 0))/INDEX('Summary of Results'!$G:$G, MATCH($B225, 'Summary of Results'!$A:$A, 0)) - 1)*100), NA()) = "", "", IFERROR(IF($C$155 = "Absolute", INDEX('Summary of Results'!J:J, MATCH($B225, 'Summary of Results'!$A:$A, 0)), (INDEX('Summary of Results'!J:J, MATCH($B225, 'Summary of Results'!$A:$A, 0))/INDEX('Summary of Results'!$G:$G, MATCH($B225, 'Summary of Results'!$A:$A, 0)) - 1)*100), NA()))</f>
        <v>500000</v>
      </c>
      <c r="H225" s="908">
        <f>IF(IFERROR(IF($C$155 = "Absolute", INDEX('Summary of Results'!K:K, MATCH($B225, 'Summary of Results'!$A:$A, 0)), (INDEX('Summary of Results'!K:K, MATCH($B225, 'Summary of Results'!$A:$A, 0))/INDEX('Summary of Results'!$G:$G, MATCH($B225, 'Summary of Results'!$A:$A, 0)) - 1)*100), NA()) = "", "", IFERROR(IF($C$155 = "Absolute", INDEX('Summary of Results'!K:K, MATCH($B225, 'Summary of Results'!$A:$A, 0)), (INDEX('Summary of Results'!K:K, MATCH($B225, 'Summary of Results'!$A:$A, 0))/INDEX('Summary of Results'!$G:$G, MATCH($B225, 'Summary of Results'!$A:$A, 0)) - 1)*100), NA()))</f>
        <v>500000</v>
      </c>
      <c r="I225" s="908">
        <f>IF(IFERROR(IF($C$155 = "Absolute", INDEX('Summary of Results'!L:L, MATCH($B225, 'Summary of Results'!$A:$A, 0)), (INDEX('Summary of Results'!L:L, MATCH($B225, 'Summary of Results'!$A:$A, 0))/INDEX('Summary of Results'!$G:$G, MATCH($B225, 'Summary of Results'!$A:$A, 0)) - 1)*100), NA()) = "", "", IFERROR(IF($C$155 = "Absolute", INDEX('Summary of Results'!L:L, MATCH($B225, 'Summary of Results'!$A:$A, 0)), (INDEX('Summary of Results'!L:L, MATCH($B225, 'Summary of Results'!$A:$A, 0))/INDEX('Summary of Results'!$G:$G, MATCH($B225, 'Summary of Results'!$A:$A, 0)) - 1)*100), NA()))</f>
        <v>500000</v>
      </c>
      <c r="J225" s="908">
        <f>IF(IFERROR(IF($C$155 = "Absolute", INDEX('Summary of Results'!M:M, MATCH($B225, 'Summary of Results'!$A:$A, 0)), (INDEX('Summary of Results'!M:M, MATCH($B225, 'Summary of Results'!$A:$A, 0))/INDEX('Summary of Results'!$G:$G, MATCH($B225, 'Summary of Results'!$A:$A, 0)) - 1)*100), NA()) = "", "", IFERROR(IF($C$155 = "Absolute", INDEX('Summary of Results'!M:M, MATCH($B225, 'Summary of Results'!$A:$A, 0)), (INDEX('Summary of Results'!M:M, MATCH($B225, 'Summary of Results'!$A:$A, 0))/INDEX('Summary of Results'!$G:$G, MATCH($B225, 'Summary of Results'!$A:$A, 0)) - 1)*100), NA()))</f>
        <v>500000</v>
      </c>
      <c r="K225"/>
      <c r="L225"/>
      <c r="M225" s="8"/>
      <c r="N225"/>
      <c r="O225"/>
      <c r="P225"/>
      <c r="Q225"/>
      <c r="R225"/>
      <c r="S225"/>
      <c r="T225"/>
      <c r="U225"/>
      <c r="V225" s="1078"/>
      <c r="W225" s="1078"/>
      <c r="X225" s="1078"/>
      <c r="Y225" s="1078"/>
      <c r="Z225" s="1078"/>
      <c r="AA225" s="1078"/>
      <c r="AB225" s="1078"/>
      <c r="AC225"/>
      <c r="AD225"/>
      <c r="AE225"/>
      <c r="AF225"/>
      <c r="AG225"/>
      <c r="AH225"/>
      <c r="AI225"/>
      <c r="AJ225"/>
      <c r="AK225"/>
      <c r="AL225"/>
      <c r="AM225"/>
      <c r="AN225"/>
      <c r="AO225"/>
    </row>
    <row r="226" spans="1:41" outlineLevel="2" x14ac:dyDescent="0.2">
      <c r="A226"/>
      <c r="B226" s="27">
        <v>26</v>
      </c>
      <c r="C226" s="907" t="str">
        <f>IFERROR(INDEX('Summary of Results'!$B:$B, MATCH(B226, 'Summary of Results'!$A:$A, 0)), NA())</f>
        <v>Pack length, mm</v>
      </c>
      <c r="D226" s="908">
        <f ca="1">IF(IFERROR(IF($C$155 = "Absolute", INDEX('Summary of Results'!G:G, MATCH($B226, 'Summary of Results'!$A:$A, 0)), (INDEX('Summary of Results'!G:G, MATCH($B226, 'Summary of Results'!$A:$A, 0))/INDEX('Summary of Results'!$G:$G, MATCH($B226, 'Summary of Results'!$A:$A, 0)) - 1)*100), NA()) = "", "", IFERROR(IF($C$155 = "Absolute", INDEX('Summary of Results'!G:G, MATCH($B226, 'Summary of Results'!$A:$A, 0)), (INDEX('Summary of Results'!G:G, MATCH($B226, 'Summary of Results'!$A:$A, 0))/INDEX('Summary of Results'!$G:$G, MATCH($B226, 'Summary of Results'!$A:$A, 0)) - 1)*100), NA()))</f>
        <v>2154.2127918567944</v>
      </c>
      <c r="E226" s="908">
        <f ca="1">IF(IFERROR(IF($C$155 = "Absolute", INDEX('Summary of Results'!H:H, MATCH($B226, 'Summary of Results'!$A:$A, 0)), (INDEX('Summary of Results'!H:H, MATCH($B226, 'Summary of Results'!$A:$A, 0))/INDEX('Summary of Results'!$G:$G, MATCH($B226, 'Summary of Results'!$A:$A, 0)) - 1)*100), NA()) = "", "", IFERROR(IF($C$155 = "Absolute", INDEX('Summary of Results'!H:H, MATCH($B226, 'Summary of Results'!$A:$A, 0)), (INDEX('Summary of Results'!H:H, MATCH($B226, 'Summary of Results'!$A:$A, 0))/INDEX('Summary of Results'!$G:$G, MATCH($B226, 'Summary of Results'!$A:$A, 0)) - 1)*100), NA()))</f>
        <v>2154.2127918567944</v>
      </c>
      <c r="F226" s="908">
        <f ca="1">IF(IFERROR(IF($C$155 = "Absolute", INDEX('Summary of Results'!I:I, MATCH($B226, 'Summary of Results'!$A:$A, 0)), (INDEX('Summary of Results'!I:I, MATCH($B226, 'Summary of Results'!$A:$A, 0))/INDEX('Summary of Results'!$G:$G, MATCH($B226, 'Summary of Results'!$A:$A, 0)) - 1)*100), NA()) = "", "", IFERROR(IF($C$155 = "Absolute", INDEX('Summary of Results'!I:I, MATCH($B226, 'Summary of Results'!$A:$A, 0)), (INDEX('Summary of Results'!I:I, MATCH($B226, 'Summary of Results'!$A:$A, 0))/INDEX('Summary of Results'!$G:$G, MATCH($B226, 'Summary of Results'!$A:$A, 0)) - 1)*100), NA()))</f>
        <v>2154.2127918567944</v>
      </c>
      <c r="G226" s="908">
        <f ca="1">IF(IFERROR(IF($C$155 = "Absolute", INDEX('Summary of Results'!J:J, MATCH($B226, 'Summary of Results'!$A:$A, 0)), (INDEX('Summary of Results'!J:J, MATCH($B226, 'Summary of Results'!$A:$A, 0))/INDEX('Summary of Results'!$G:$G, MATCH($B226, 'Summary of Results'!$A:$A, 0)) - 1)*100), NA()) = "", "", IFERROR(IF($C$155 = "Absolute", INDEX('Summary of Results'!J:J, MATCH($B226, 'Summary of Results'!$A:$A, 0)), (INDEX('Summary of Results'!J:J, MATCH($B226, 'Summary of Results'!$A:$A, 0))/INDEX('Summary of Results'!$G:$G, MATCH($B226, 'Summary of Results'!$A:$A, 0)) - 1)*100), NA()))</f>
        <v>2154.2127918567944</v>
      </c>
      <c r="H226" s="908">
        <f ca="1">IF(IFERROR(IF($C$155 = "Absolute", INDEX('Summary of Results'!K:K, MATCH($B226, 'Summary of Results'!$A:$A, 0)), (INDEX('Summary of Results'!K:K, MATCH($B226, 'Summary of Results'!$A:$A, 0))/INDEX('Summary of Results'!$G:$G, MATCH($B226, 'Summary of Results'!$A:$A, 0)) - 1)*100), NA()) = "", "", IFERROR(IF($C$155 = "Absolute", INDEX('Summary of Results'!K:K, MATCH($B226, 'Summary of Results'!$A:$A, 0)), (INDEX('Summary of Results'!K:K, MATCH($B226, 'Summary of Results'!$A:$A, 0))/INDEX('Summary of Results'!$G:$G, MATCH($B226, 'Summary of Results'!$A:$A, 0)) - 1)*100), NA()))</f>
        <v>2154.2127918567944</v>
      </c>
      <c r="I226" s="908">
        <f ca="1">IF(IFERROR(IF($C$155 = "Absolute", INDEX('Summary of Results'!L:L, MATCH($B226, 'Summary of Results'!$A:$A, 0)), (INDEX('Summary of Results'!L:L, MATCH($B226, 'Summary of Results'!$A:$A, 0))/INDEX('Summary of Results'!$G:$G, MATCH($B226, 'Summary of Results'!$A:$A, 0)) - 1)*100), NA()) = "", "", IFERROR(IF($C$155 = "Absolute", INDEX('Summary of Results'!L:L, MATCH($B226, 'Summary of Results'!$A:$A, 0)), (INDEX('Summary of Results'!L:L, MATCH($B226, 'Summary of Results'!$A:$A, 0))/INDEX('Summary of Results'!$G:$G, MATCH($B226, 'Summary of Results'!$A:$A, 0)) - 1)*100), NA()))</f>
        <v>2154.2127918567944</v>
      </c>
      <c r="J226" s="908">
        <f ca="1">IF(IFERROR(IF($C$155 = "Absolute", INDEX('Summary of Results'!M:M, MATCH($B226, 'Summary of Results'!$A:$A, 0)), (INDEX('Summary of Results'!M:M, MATCH($B226, 'Summary of Results'!$A:$A, 0))/INDEX('Summary of Results'!$G:$G, MATCH($B226, 'Summary of Results'!$A:$A, 0)) - 1)*100), NA()) = "", "", IFERROR(IF($C$155 = "Absolute", INDEX('Summary of Results'!M:M, MATCH($B226, 'Summary of Results'!$A:$A, 0)), (INDEX('Summary of Results'!M:M, MATCH($B226, 'Summary of Results'!$A:$A, 0))/INDEX('Summary of Results'!$G:$G, MATCH($B226, 'Summary of Results'!$A:$A, 0)) - 1)*100), NA()))</f>
        <v>2154.2127918567944</v>
      </c>
      <c r="K226"/>
      <c r="L226"/>
      <c r="M226" s="8"/>
      <c r="N226"/>
      <c r="O226"/>
      <c r="P226"/>
      <c r="Q226"/>
      <c r="R226"/>
      <c r="S226"/>
      <c r="T226"/>
      <c r="U226"/>
      <c r="V226"/>
      <c r="W226"/>
      <c r="X226"/>
      <c r="Y226"/>
      <c r="Z226"/>
      <c r="AA226"/>
      <c r="AB226"/>
      <c r="AC226"/>
      <c r="AD226"/>
      <c r="AE226"/>
      <c r="AF226"/>
      <c r="AG226"/>
      <c r="AH226"/>
      <c r="AI226"/>
      <c r="AJ226"/>
      <c r="AK226"/>
      <c r="AL226"/>
      <c r="AM226"/>
      <c r="AN226"/>
      <c r="AO226"/>
    </row>
    <row r="227" spans="1:41" outlineLevel="2" x14ac:dyDescent="0.2">
      <c r="A227"/>
      <c r="B227" s="27">
        <v>27</v>
      </c>
      <c r="C227" s="907" t="str">
        <f>IFERROR(INDEX('Summary of Results'!$B:$B, MATCH(B227, 'Summary of Results'!$A:$A, 0)), NA())</f>
        <v>Pack width, mm</v>
      </c>
      <c r="D227" s="908">
        <f ca="1">IF(IFERROR(IF($C$155 = "Absolute", INDEX('Summary of Results'!G:G, MATCH($B227, 'Summary of Results'!$A:$A, 0)), (INDEX('Summary of Results'!G:G, MATCH($B227, 'Summary of Results'!$A:$A, 0))/INDEX('Summary of Results'!$G:$G, MATCH($B227, 'Summary of Results'!$A:$A, 0)) - 1)*100), NA()) = "", "", IFERROR(IF($C$155 = "Absolute", INDEX('Summary of Results'!G:G, MATCH($B227, 'Summary of Results'!$A:$A, 0)), (INDEX('Summary of Results'!G:G, MATCH($B227, 'Summary of Results'!$A:$A, 0))/INDEX('Summary of Results'!$G:$G, MATCH($B227, 'Summary of Results'!$A:$A, 0)) - 1)*100), NA()))</f>
        <v>1317.4994734562345</v>
      </c>
      <c r="E227" s="908">
        <f ca="1">IF(IFERROR(IF($C$155 = "Absolute", INDEX('Summary of Results'!H:H, MATCH($B227, 'Summary of Results'!$A:$A, 0)), (INDEX('Summary of Results'!H:H, MATCH($B227, 'Summary of Results'!$A:$A, 0))/INDEX('Summary of Results'!$G:$G, MATCH($B227, 'Summary of Results'!$A:$A, 0)) - 1)*100), NA()) = "", "", IFERROR(IF($C$155 = "Absolute", INDEX('Summary of Results'!H:H, MATCH($B227, 'Summary of Results'!$A:$A, 0)), (INDEX('Summary of Results'!H:H, MATCH($B227, 'Summary of Results'!$A:$A, 0))/INDEX('Summary of Results'!$G:$G, MATCH($B227, 'Summary of Results'!$A:$A, 0)) - 1)*100), NA()))</f>
        <v>1317.4994734562345</v>
      </c>
      <c r="F227" s="908">
        <f ca="1">IF(IFERROR(IF($C$155 = "Absolute", INDEX('Summary of Results'!I:I, MATCH($B227, 'Summary of Results'!$A:$A, 0)), (INDEX('Summary of Results'!I:I, MATCH($B227, 'Summary of Results'!$A:$A, 0))/INDEX('Summary of Results'!$G:$G, MATCH($B227, 'Summary of Results'!$A:$A, 0)) - 1)*100), NA()) = "", "", IFERROR(IF($C$155 = "Absolute", INDEX('Summary of Results'!I:I, MATCH($B227, 'Summary of Results'!$A:$A, 0)), (INDEX('Summary of Results'!I:I, MATCH($B227, 'Summary of Results'!$A:$A, 0))/INDEX('Summary of Results'!$G:$G, MATCH($B227, 'Summary of Results'!$A:$A, 0)) - 1)*100), NA()))</f>
        <v>1317.4994734562345</v>
      </c>
      <c r="G227" s="908">
        <f ca="1">IF(IFERROR(IF($C$155 = "Absolute", INDEX('Summary of Results'!J:J, MATCH($B227, 'Summary of Results'!$A:$A, 0)), (INDEX('Summary of Results'!J:J, MATCH($B227, 'Summary of Results'!$A:$A, 0))/INDEX('Summary of Results'!$G:$G, MATCH($B227, 'Summary of Results'!$A:$A, 0)) - 1)*100), NA()) = "", "", IFERROR(IF($C$155 = "Absolute", INDEX('Summary of Results'!J:J, MATCH($B227, 'Summary of Results'!$A:$A, 0)), (INDEX('Summary of Results'!J:J, MATCH($B227, 'Summary of Results'!$A:$A, 0))/INDEX('Summary of Results'!$G:$G, MATCH($B227, 'Summary of Results'!$A:$A, 0)) - 1)*100), NA()))</f>
        <v>1317.4994734562345</v>
      </c>
      <c r="H227" s="908">
        <f ca="1">IF(IFERROR(IF($C$155 = "Absolute", INDEX('Summary of Results'!K:K, MATCH($B227, 'Summary of Results'!$A:$A, 0)), (INDEX('Summary of Results'!K:K, MATCH($B227, 'Summary of Results'!$A:$A, 0))/INDEX('Summary of Results'!$G:$G, MATCH($B227, 'Summary of Results'!$A:$A, 0)) - 1)*100), NA()) = "", "", IFERROR(IF($C$155 = "Absolute", INDEX('Summary of Results'!K:K, MATCH($B227, 'Summary of Results'!$A:$A, 0)), (INDEX('Summary of Results'!K:K, MATCH($B227, 'Summary of Results'!$A:$A, 0))/INDEX('Summary of Results'!$G:$G, MATCH($B227, 'Summary of Results'!$A:$A, 0)) - 1)*100), NA()))</f>
        <v>1317.4994734562345</v>
      </c>
      <c r="I227" s="908">
        <f ca="1">IF(IFERROR(IF($C$155 = "Absolute", INDEX('Summary of Results'!L:L, MATCH($B227, 'Summary of Results'!$A:$A, 0)), (INDEX('Summary of Results'!L:L, MATCH($B227, 'Summary of Results'!$A:$A, 0))/INDEX('Summary of Results'!$G:$G, MATCH($B227, 'Summary of Results'!$A:$A, 0)) - 1)*100), NA()) = "", "", IFERROR(IF($C$155 = "Absolute", INDEX('Summary of Results'!L:L, MATCH($B227, 'Summary of Results'!$A:$A, 0)), (INDEX('Summary of Results'!L:L, MATCH($B227, 'Summary of Results'!$A:$A, 0))/INDEX('Summary of Results'!$G:$G, MATCH($B227, 'Summary of Results'!$A:$A, 0)) - 1)*100), NA()))</f>
        <v>1317.4994734562345</v>
      </c>
      <c r="J227" s="908">
        <f ca="1">IF(IFERROR(IF($C$155 = "Absolute", INDEX('Summary of Results'!M:M, MATCH($B227, 'Summary of Results'!$A:$A, 0)), (INDEX('Summary of Results'!M:M, MATCH($B227, 'Summary of Results'!$A:$A, 0))/INDEX('Summary of Results'!$G:$G, MATCH($B227, 'Summary of Results'!$A:$A, 0)) - 1)*100), NA()) = "", "", IFERROR(IF($C$155 = "Absolute", INDEX('Summary of Results'!M:M, MATCH($B227, 'Summary of Results'!$A:$A, 0)), (INDEX('Summary of Results'!M:M, MATCH($B227, 'Summary of Results'!$A:$A, 0))/INDEX('Summary of Results'!$G:$G, MATCH($B227, 'Summary of Results'!$A:$A, 0)) - 1)*100), NA()))</f>
        <v>1317.4994734562345</v>
      </c>
      <c r="K227"/>
      <c r="L227"/>
      <c r="M227" s="8"/>
      <c r="N227"/>
      <c r="O227"/>
      <c r="P227"/>
      <c r="Q227"/>
      <c r="R227"/>
      <c r="S227"/>
      <c r="T227"/>
      <c r="U227"/>
      <c r="V227"/>
      <c r="W227"/>
      <c r="X227"/>
      <c r="Y227"/>
      <c r="Z227"/>
      <c r="AA227"/>
      <c r="AB227"/>
      <c r="AC227"/>
      <c r="AD227"/>
      <c r="AE227"/>
      <c r="AF227"/>
      <c r="AG227"/>
      <c r="AH227"/>
      <c r="AI227"/>
      <c r="AJ227"/>
      <c r="AK227"/>
      <c r="AL227"/>
      <c r="AM227"/>
      <c r="AN227"/>
      <c r="AO227"/>
    </row>
    <row r="228" spans="1:41" outlineLevel="2" x14ac:dyDescent="0.2">
      <c r="A228"/>
      <c r="B228" s="27">
        <v>28</v>
      </c>
      <c r="C228" s="907" t="str">
        <f>IFERROR(INDEX('Summary of Results'!$B:$B, MATCH(B228, 'Summary of Results'!$A:$A, 0)), NA())</f>
        <v>Pack height, mm</v>
      </c>
      <c r="D228" s="908">
        <f ca="1">IF(IFERROR(IF($C$155 = "Absolute", INDEX('Summary of Results'!G:G, MATCH($B228, 'Summary of Results'!$A:$A, 0)), (INDEX('Summary of Results'!G:G, MATCH($B228, 'Summary of Results'!$A:$A, 0))/INDEX('Summary of Results'!$G:$G, MATCH($B228, 'Summary of Results'!$A:$A, 0)) - 1)*100), NA()) = "", "", IFERROR(IF($C$155 = "Absolute", INDEX('Summary of Results'!G:G, MATCH($B228, 'Summary of Results'!$A:$A, 0)), (INDEX('Summary of Results'!G:G, MATCH($B228, 'Summary of Results'!$A:$A, 0))/INDEX('Summary of Results'!$G:$G, MATCH($B228, 'Summary of Results'!$A:$A, 0)) - 1)*100), NA()))</f>
        <v>121.20098711983185</v>
      </c>
      <c r="E228" s="908">
        <f ca="1">IF(IFERROR(IF($C$155 = "Absolute", INDEX('Summary of Results'!H:H, MATCH($B228, 'Summary of Results'!$A:$A, 0)), (INDEX('Summary of Results'!H:H, MATCH($B228, 'Summary of Results'!$A:$A, 0))/INDEX('Summary of Results'!$G:$G, MATCH($B228, 'Summary of Results'!$A:$A, 0)) - 1)*100), NA()) = "", "", IFERROR(IF($C$155 = "Absolute", INDEX('Summary of Results'!H:H, MATCH($B228, 'Summary of Results'!$A:$A, 0)), (INDEX('Summary of Results'!H:H, MATCH($B228, 'Summary of Results'!$A:$A, 0))/INDEX('Summary of Results'!$G:$G, MATCH($B228, 'Summary of Results'!$A:$A, 0)) - 1)*100), NA()))</f>
        <v>121.20098711983185</v>
      </c>
      <c r="F228" s="908">
        <f ca="1">IF(IFERROR(IF($C$155 = "Absolute", INDEX('Summary of Results'!I:I, MATCH($B228, 'Summary of Results'!$A:$A, 0)), (INDEX('Summary of Results'!I:I, MATCH($B228, 'Summary of Results'!$A:$A, 0))/INDEX('Summary of Results'!$G:$G, MATCH($B228, 'Summary of Results'!$A:$A, 0)) - 1)*100), NA()) = "", "", IFERROR(IF($C$155 = "Absolute", INDEX('Summary of Results'!I:I, MATCH($B228, 'Summary of Results'!$A:$A, 0)), (INDEX('Summary of Results'!I:I, MATCH($B228, 'Summary of Results'!$A:$A, 0))/INDEX('Summary of Results'!$G:$G, MATCH($B228, 'Summary of Results'!$A:$A, 0)) - 1)*100), NA()))</f>
        <v>121.20098711983185</v>
      </c>
      <c r="G228" s="908">
        <f ca="1">IF(IFERROR(IF($C$155 = "Absolute", INDEX('Summary of Results'!J:J, MATCH($B228, 'Summary of Results'!$A:$A, 0)), (INDEX('Summary of Results'!J:J, MATCH($B228, 'Summary of Results'!$A:$A, 0))/INDEX('Summary of Results'!$G:$G, MATCH($B228, 'Summary of Results'!$A:$A, 0)) - 1)*100), NA()) = "", "", IFERROR(IF($C$155 = "Absolute", INDEX('Summary of Results'!J:J, MATCH($B228, 'Summary of Results'!$A:$A, 0)), (INDEX('Summary of Results'!J:J, MATCH($B228, 'Summary of Results'!$A:$A, 0))/INDEX('Summary of Results'!$G:$G, MATCH($B228, 'Summary of Results'!$A:$A, 0)) - 1)*100), NA()))</f>
        <v>121.20098711983185</v>
      </c>
      <c r="H228" s="908">
        <f ca="1">IF(IFERROR(IF($C$155 = "Absolute", INDEX('Summary of Results'!K:K, MATCH($B228, 'Summary of Results'!$A:$A, 0)), (INDEX('Summary of Results'!K:K, MATCH($B228, 'Summary of Results'!$A:$A, 0))/INDEX('Summary of Results'!$G:$G, MATCH($B228, 'Summary of Results'!$A:$A, 0)) - 1)*100), NA()) = "", "", IFERROR(IF($C$155 = "Absolute", INDEX('Summary of Results'!K:K, MATCH($B228, 'Summary of Results'!$A:$A, 0)), (INDEX('Summary of Results'!K:K, MATCH($B228, 'Summary of Results'!$A:$A, 0))/INDEX('Summary of Results'!$G:$G, MATCH($B228, 'Summary of Results'!$A:$A, 0)) - 1)*100), NA()))</f>
        <v>121.20098711983185</v>
      </c>
      <c r="I228" s="908">
        <f ca="1">IF(IFERROR(IF($C$155 = "Absolute", INDEX('Summary of Results'!L:L, MATCH($B228, 'Summary of Results'!$A:$A, 0)), (INDEX('Summary of Results'!L:L, MATCH($B228, 'Summary of Results'!$A:$A, 0))/INDEX('Summary of Results'!$G:$G, MATCH($B228, 'Summary of Results'!$A:$A, 0)) - 1)*100), NA()) = "", "", IFERROR(IF($C$155 = "Absolute", INDEX('Summary of Results'!L:L, MATCH($B228, 'Summary of Results'!$A:$A, 0)), (INDEX('Summary of Results'!L:L, MATCH($B228, 'Summary of Results'!$A:$A, 0))/INDEX('Summary of Results'!$G:$G, MATCH($B228, 'Summary of Results'!$A:$A, 0)) - 1)*100), NA()))</f>
        <v>121.20098711983185</v>
      </c>
      <c r="J228" s="908">
        <f ca="1">IF(IFERROR(IF($C$155 = "Absolute", INDEX('Summary of Results'!M:M, MATCH($B228, 'Summary of Results'!$A:$A, 0)), (INDEX('Summary of Results'!M:M, MATCH($B228, 'Summary of Results'!$A:$A, 0))/INDEX('Summary of Results'!$G:$G, MATCH($B228, 'Summary of Results'!$A:$A, 0)) - 1)*100), NA()) = "", "", IFERROR(IF($C$155 = "Absolute", INDEX('Summary of Results'!M:M, MATCH($B228, 'Summary of Results'!$A:$A, 0)), (INDEX('Summary of Results'!M:M, MATCH($B228, 'Summary of Results'!$A:$A, 0))/INDEX('Summary of Results'!$G:$G, MATCH($B228, 'Summary of Results'!$A:$A, 0)) - 1)*100), NA()))</f>
        <v>121.20098711983185</v>
      </c>
      <c r="K228"/>
      <c r="L228"/>
      <c r="M228" s="8"/>
      <c r="N228"/>
      <c r="O228"/>
      <c r="P228"/>
      <c r="Q228"/>
      <c r="R228" s="8"/>
      <c r="S228"/>
      <c r="T228"/>
      <c r="U228"/>
      <c r="V228"/>
      <c r="W228"/>
      <c r="X228"/>
      <c r="Y228"/>
      <c r="Z228"/>
      <c r="AA228"/>
      <c r="AB228"/>
      <c r="AC228"/>
      <c r="AD228"/>
      <c r="AE228"/>
      <c r="AF228"/>
      <c r="AG228"/>
      <c r="AH228"/>
      <c r="AI228"/>
      <c r="AJ228"/>
      <c r="AK228"/>
      <c r="AL228"/>
      <c r="AM228"/>
      <c r="AN228"/>
      <c r="AO228"/>
    </row>
    <row r="229" spans="1:41" collapsed="1" x14ac:dyDescent="0.2">
      <c r="A229"/>
      <c r="B229" s="27">
        <v>29</v>
      </c>
      <c r="C229" s="907" t="e">
        <f>IFERROR(INDEX('Summary of Results'!$B:$B, MATCH(B229, 'Summary of Results'!$A:$A, 0)), NA())</f>
        <v>#N/A</v>
      </c>
      <c r="D229" s="908" t="e">
        <f>IF(IFERROR(IF($C$155 = "Absolute", INDEX('Summary of Results'!G:G, MATCH($B229, 'Summary of Results'!$A:$A, 0)), (INDEX('Summary of Results'!G:G, MATCH($B229, 'Summary of Results'!$A:$A, 0))/INDEX('Summary of Results'!$G:$G, MATCH($B229, 'Summary of Results'!$A:$A, 0)) - 1)*100), NA()) = "", "", IFERROR(IF($C$155 = "Absolute", INDEX('Summary of Results'!G:G, MATCH($B229, 'Summary of Results'!$A:$A, 0)), (INDEX('Summary of Results'!G:G, MATCH($B229, 'Summary of Results'!$A:$A, 0))/INDEX('Summary of Results'!$G:$G, MATCH($B229, 'Summary of Results'!$A:$A, 0)) - 1)*100), NA()))</f>
        <v>#N/A</v>
      </c>
      <c r="E229" s="908" t="e">
        <f>IF(IFERROR(IF($C$155 = "Absolute", INDEX('Summary of Results'!H:H, MATCH($B229, 'Summary of Results'!$A:$A, 0)), (INDEX('Summary of Results'!H:H, MATCH($B229, 'Summary of Results'!$A:$A, 0))/INDEX('Summary of Results'!$G:$G, MATCH($B229, 'Summary of Results'!$A:$A, 0)) - 1)*100), NA()) = "", "", IFERROR(IF($C$155 = "Absolute", INDEX('Summary of Results'!H:H, MATCH($B229, 'Summary of Results'!$A:$A, 0)), (INDEX('Summary of Results'!H:H, MATCH($B229, 'Summary of Results'!$A:$A, 0))/INDEX('Summary of Results'!$G:$G, MATCH($B229, 'Summary of Results'!$A:$A, 0)) - 1)*100), NA()))</f>
        <v>#N/A</v>
      </c>
      <c r="F229" s="908" t="e">
        <f>IF(IFERROR(IF($C$155 = "Absolute", INDEX('Summary of Results'!I:I, MATCH($B229, 'Summary of Results'!$A:$A, 0)), (INDEX('Summary of Results'!I:I, MATCH($B229, 'Summary of Results'!$A:$A, 0))/INDEX('Summary of Results'!$G:$G, MATCH($B229, 'Summary of Results'!$A:$A, 0)) - 1)*100), NA()) = "", "", IFERROR(IF($C$155 = "Absolute", INDEX('Summary of Results'!I:I, MATCH($B229, 'Summary of Results'!$A:$A, 0)), (INDEX('Summary of Results'!I:I, MATCH($B229, 'Summary of Results'!$A:$A, 0))/INDEX('Summary of Results'!$G:$G, MATCH($B229, 'Summary of Results'!$A:$A, 0)) - 1)*100), NA()))</f>
        <v>#N/A</v>
      </c>
      <c r="G229" s="908" t="e">
        <f>IF(IFERROR(IF($C$155 = "Absolute", INDEX('Summary of Results'!J:J, MATCH($B229, 'Summary of Results'!$A:$A, 0)), (INDEX('Summary of Results'!J:J, MATCH($B229, 'Summary of Results'!$A:$A, 0))/INDEX('Summary of Results'!$G:$G, MATCH($B229, 'Summary of Results'!$A:$A, 0)) - 1)*100), NA()) = "", "", IFERROR(IF($C$155 = "Absolute", INDEX('Summary of Results'!J:J, MATCH($B229, 'Summary of Results'!$A:$A, 0)), (INDEX('Summary of Results'!J:J, MATCH($B229, 'Summary of Results'!$A:$A, 0))/INDEX('Summary of Results'!$G:$G, MATCH($B229, 'Summary of Results'!$A:$A, 0)) - 1)*100), NA()))</f>
        <v>#N/A</v>
      </c>
      <c r="H229" s="908" t="e">
        <f>IF(IFERROR(IF($C$155 = "Absolute", INDEX('Summary of Results'!K:K, MATCH($B229, 'Summary of Results'!$A:$A, 0)), (INDEX('Summary of Results'!K:K, MATCH($B229, 'Summary of Results'!$A:$A, 0))/INDEX('Summary of Results'!$G:$G, MATCH($B229, 'Summary of Results'!$A:$A, 0)) - 1)*100), NA()) = "", "", IFERROR(IF($C$155 = "Absolute", INDEX('Summary of Results'!K:K, MATCH($B229, 'Summary of Results'!$A:$A, 0)), (INDEX('Summary of Results'!K:K, MATCH($B229, 'Summary of Results'!$A:$A, 0))/INDEX('Summary of Results'!$G:$G, MATCH($B229, 'Summary of Results'!$A:$A, 0)) - 1)*100), NA()))</f>
        <v>#N/A</v>
      </c>
      <c r="I229" s="908" t="e">
        <f>IF(IFERROR(IF($C$155 = "Absolute", INDEX('Summary of Results'!L:L, MATCH($B229, 'Summary of Results'!$A:$A, 0)), (INDEX('Summary of Results'!L:L, MATCH($B229, 'Summary of Results'!$A:$A, 0))/INDEX('Summary of Results'!$G:$G, MATCH($B229, 'Summary of Results'!$A:$A, 0)) - 1)*100), NA()) = "", "", IFERROR(IF($C$155 = "Absolute", INDEX('Summary of Results'!L:L, MATCH($B229, 'Summary of Results'!$A:$A, 0)), (INDEX('Summary of Results'!L:L, MATCH($B229, 'Summary of Results'!$A:$A, 0))/INDEX('Summary of Results'!$G:$G, MATCH($B229, 'Summary of Results'!$A:$A, 0)) - 1)*100), NA()))</f>
        <v>#N/A</v>
      </c>
      <c r="J229" s="908" t="e">
        <f>IF(IFERROR(IF($C$155 = "Absolute", INDEX('Summary of Results'!M:M, MATCH($B229, 'Summary of Results'!$A:$A, 0)), (INDEX('Summary of Results'!M:M, MATCH($B229, 'Summary of Results'!$A:$A, 0))/INDEX('Summary of Results'!$G:$G, MATCH($B229, 'Summary of Results'!$A:$A, 0)) - 1)*100), NA()) = "", "", IFERROR(IF($C$155 = "Absolute", INDEX('Summary of Results'!M:M, MATCH($B229, 'Summary of Results'!$A:$A, 0)), (INDEX('Summary of Results'!M:M, MATCH($B229, 'Summary of Results'!$A:$A, 0))/INDEX('Summary of Results'!$G:$G, MATCH($B229, 'Summary of Results'!$A:$A, 0)) - 1)*100), NA()))</f>
        <v>#N/A</v>
      </c>
      <c r="K229"/>
      <c r="L229"/>
      <c r="M229" s="8"/>
      <c r="N229"/>
      <c r="O229"/>
      <c r="P229"/>
      <c r="Q229"/>
      <c r="R229"/>
      <c r="S229"/>
      <c r="T229"/>
      <c r="U229"/>
      <c r="V229"/>
      <c r="W229"/>
      <c r="X229"/>
      <c r="Y229"/>
      <c r="Z229"/>
      <c r="AA229"/>
      <c r="AB229"/>
      <c r="AC229"/>
      <c r="AD229"/>
      <c r="AE229"/>
      <c r="AF229"/>
      <c r="AG229"/>
      <c r="AH229"/>
      <c r="AI229"/>
      <c r="AJ229"/>
      <c r="AK229"/>
      <c r="AL229"/>
      <c r="AM229"/>
      <c r="AN229"/>
      <c r="AO229"/>
    </row>
    <row r="230" spans="1:41" x14ac:dyDescent="0.2">
      <c r="A230"/>
      <c r="B230" s="27">
        <v>30</v>
      </c>
      <c r="C230" s="907" t="e">
        <f>IFERROR(INDEX('Summary of Results'!$B:$B, MATCH(B230, 'Summary of Results'!$A:$A, 0)), NA())</f>
        <v>#N/A</v>
      </c>
      <c r="D230" s="908" t="e">
        <f>IF(IFERROR(IF($C$155 = "Absolute", INDEX('Summary of Results'!G:G, MATCH($B230, 'Summary of Results'!$A:$A, 0)), (INDEX('Summary of Results'!G:G, MATCH($B230, 'Summary of Results'!$A:$A, 0))/INDEX('Summary of Results'!$G:$G, MATCH($B230, 'Summary of Results'!$A:$A, 0)) - 1)*100), NA()) = "", "", IFERROR(IF($C$155 = "Absolute", INDEX('Summary of Results'!G:G, MATCH($B230, 'Summary of Results'!$A:$A, 0)), (INDEX('Summary of Results'!G:G, MATCH($B230, 'Summary of Results'!$A:$A, 0))/INDEX('Summary of Results'!$G:$G, MATCH($B230, 'Summary of Results'!$A:$A, 0)) - 1)*100), NA()))</f>
        <v>#N/A</v>
      </c>
      <c r="E230" s="908" t="e">
        <f>IF(IFERROR(IF($C$155 = "Absolute", INDEX('Summary of Results'!H:H, MATCH($B230, 'Summary of Results'!$A:$A, 0)), (INDEX('Summary of Results'!H:H, MATCH($B230, 'Summary of Results'!$A:$A, 0))/INDEX('Summary of Results'!$G:$G, MATCH($B230, 'Summary of Results'!$A:$A, 0)) - 1)*100), NA()) = "", "", IFERROR(IF($C$155 = "Absolute", INDEX('Summary of Results'!H:H, MATCH($B230, 'Summary of Results'!$A:$A, 0)), (INDEX('Summary of Results'!H:H, MATCH($B230, 'Summary of Results'!$A:$A, 0))/INDEX('Summary of Results'!$G:$G, MATCH($B230, 'Summary of Results'!$A:$A, 0)) - 1)*100), NA()))</f>
        <v>#N/A</v>
      </c>
      <c r="F230" s="908" t="e">
        <f>IF(IFERROR(IF($C$155 = "Absolute", INDEX('Summary of Results'!I:I, MATCH($B230, 'Summary of Results'!$A:$A, 0)), (INDEX('Summary of Results'!I:I, MATCH($B230, 'Summary of Results'!$A:$A, 0))/INDEX('Summary of Results'!$G:$G, MATCH($B230, 'Summary of Results'!$A:$A, 0)) - 1)*100), NA()) = "", "", IFERROR(IF($C$155 = "Absolute", INDEX('Summary of Results'!I:I, MATCH($B230, 'Summary of Results'!$A:$A, 0)), (INDEX('Summary of Results'!I:I, MATCH($B230, 'Summary of Results'!$A:$A, 0))/INDEX('Summary of Results'!$G:$G, MATCH($B230, 'Summary of Results'!$A:$A, 0)) - 1)*100), NA()))</f>
        <v>#N/A</v>
      </c>
      <c r="G230" s="908" t="e">
        <f>IF(IFERROR(IF($C$155 = "Absolute", INDEX('Summary of Results'!J:J, MATCH($B230, 'Summary of Results'!$A:$A, 0)), (INDEX('Summary of Results'!J:J, MATCH($B230, 'Summary of Results'!$A:$A, 0))/INDEX('Summary of Results'!$G:$G, MATCH($B230, 'Summary of Results'!$A:$A, 0)) - 1)*100), NA()) = "", "", IFERROR(IF($C$155 = "Absolute", INDEX('Summary of Results'!J:J, MATCH($B230, 'Summary of Results'!$A:$A, 0)), (INDEX('Summary of Results'!J:J, MATCH($B230, 'Summary of Results'!$A:$A, 0))/INDEX('Summary of Results'!$G:$G, MATCH($B230, 'Summary of Results'!$A:$A, 0)) - 1)*100), NA()))</f>
        <v>#N/A</v>
      </c>
      <c r="H230" s="908" t="e">
        <f>IF(IFERROR(IF($C$155 = "Absolute", INDEX('Summary of Results'!K:K, MATCH($B230, 'Summary of Results'!$A:$A, 0)), (INDEX('Summary of Results'!K:K, MATCH($B230, 'Summary of Results'!$A:$A, 0))/INDEX('Summary of Results'!$G:$G, MATCH($B230, 'Summary of Results'!$A:$A, 0)) - 1)*100), NA()) = "", "", IFERROR(IF($C$155 = "Absolute", INDEX('Summary of Results'!K:K, MATCH($B230, 'Summary of Results'!$A:$A, 0)), (INDEX('Summary of Results'!K:K, MATCH($B230, 'Summary of Results'!$A:$A, 0))/INDEX('Summary of Results'!$G:$G, MATCH($B230, 'Summary of Results'!$A:$A, 0)) - 1)*100), NA()))</f>
        <v>#N/A</v>
      </c>
      <c r="I230" s="908" t="e">
        <f>IF(IFERROR(IF($C$155 = "Absolute", INDEX('Summary of Results'!L:L, MATCH($B230, 'Summary of Results'!$A:$A, 0)), (INDEX('Summary of Results'!L:L, MATCH($B230, 'Summary of Results'!$A:$A, 0))/INDEX('Summary of Results'!$G:$G, MATCH($B230, 'Summary of Results'!$A:$A, 0)) - 1)*100), NA()) = "", "", IFERROR(IF($C$155 = "Absolute", INDEX('Summary of Results'!L:L, MATCH($B230, 'Summary of Results'!$A:$A, 0)), (INDEX('Summary of Results'!L:L, MATCH($B230, 'Summary of Results'!$A:$A, 0))/INDEX('Summary of Results'!$G:$G, MATCH($B230, 'Summary of Results'!$A:$A, 0)) - 1)*100), NA()))</f>
        <v>#N/A</v>
      </c>
      <c r="J230" s="908" t="e">
        <f>IF(IFERROR(IF($C$155 = "Absolute", INDEX('Summary of Results'!M:M, MATCH($B230, 'Summary of Results'!$A:$A, 0)), (INDEX('Summary of Results'!M:M, MATCH($B230, 'Summary of Results'!$A:$A, 0))/INDEX('Summary of Results'!$G:$G, MATCH($B230, 'Summary of Results'!$A:$A, 0)) - 1)*100), NA()) = "", "", IFERROR(IF($C$155 = "Absolute", INDEX('Summary of Results'!M:M, MATCH($B230, 'Summary of Results'!$A:$A, 0)), (INDEX('Summary of Results'!M:M, MATCH($B230, 'Summary of Results'!$A:$A, 0))/INDEX('Summary of Results'!$G:$G, MATCH($B230, 'Summary of Results'!$A:$A, 0)) - 1)*100), NA()))</f>
        <v>#N/A</v>
      </c>
      <c r="K230"/>
      <c r="L230"/>
      <c r="M230" s="8"/>
      <c r="N230"/>
      <c r="O230"/>
      <c r="P230"/>
      <c r="Q230"/>
      <c r="R230"/>
      <c r="S230"/>
      <c r="T230"/>
      <c r="U230"/>
      <c r="V230"/>
      <c r="W230"/>
      <c r="X230"/>
      <c r="Y230"/>
      <c r="Z230"/>
      <c r="AA230"/>
      <c r="AB230"/>
      <c r="AC230"/>
      <c r="AD230"/>
      <c r="AE230"/>
      <c r="AF230"/>
      <c r="AG230"/>
      <c r="AH230"/>
      <c r="AI230"/>
      <c r="AJ230"/>
      <c r="AK230"/>
      <c r="AL230"/>
      <c r="AM230"/>
      <c r="AN230"/>
      <c r="AO230"/>
    </row>
    <row r="231" spans="1:41" x14ac:dyDescent="0.2">
      <c r="A231"/>
      <c r="B231" s="27">
        <v>31</v>
      </c>
      <c r="C231" s="907" t="e">
        <f>IFERROR(INDEX('Summary of Results'!$B:$B, MATCH(B231, 'Summary of Results'!$A:$A, 0)), NA())</f>
        <v>#N/A</v>
      </c>
      <c r="D231" s="908" t="e">
        <f>IF(IFERROR(IF($C$155 = "Absolute", INDEX('Summary of Results'!G:G, MATCH($B231, 'Summary of Results'!$A:$A, 0)), (INDEX('Summary of Results'!G:G, MATCH($B231, 'Summary of Results'!$A:$A, 0))/INDEX('Summary of Results'!$G:$G, MATCH($B231, 'Summary of Results'!$A:$A, 0)) - 1)*100), NA()) = "", "", IFERROR(IF($C$155 = "Absolute", INDEX('Summary of Results'!G:G, MATCH($B231, 'Summary of Results'!$A:$A, 0)), (INDEX('Summary of Results'!G:G, MATCH($B231, 'Summary of Results'!$A:$A, 0))/INDEX('Summary of Results'!$G:$G, MATCH($B231, 'Summary of Results'!$A:$A, 0)) - 1)*100), NA()))</f>
        <v>#N/A</v>
      </c>
      <c r="E231" s="908" t="e">
        <f>IF(IFERROR(IF($C$155 = "Absolute", INDEX('Summary of Results'!H:H, MATCH($B231, 'Summary of Results'!$A:$A, 0)), (INDEX('Summary of Results'!H:H, MATCH($B231, 'Summary of Results'!$A:$A, 0))/INDEX('Summary of Results'!$G:$G, MATCH($B231, 'Summary of Results'!$A:$A, 0)) - 1)*100), NA()) = "", "", IFERROR(IF($C$155 = "Absolute", INDEX('Summary of Results'!H:H, MATCH($B231, 'Summary of Results'!$A:$A, 0)), (INDEX('Summary of Results'!H:H, MATCH($B231, 'Summary of Results'!$A:$A, 0))/INDEX('Summary of Results'!$G:$G, MATCH($B231, 'Summary of Results'!$A:$A, 0)) - 1)*100), NA()))</f>
        <v>#N/A</v>
      </c>
      <c r="F231" s="908" t="e">
        <f>IF(IFERROR(IF($C$155 = "Absolute", INDEX('Summary of Results'!I:I, MATCH($B231, 'Summary of Results'!$A:$A, 0)), (INDEX('Summary of Results'!I:I, MATCH($B231, 'Summary of Results'!$A:$A, 0))/INDEX('Summary of Results'!$G:$G, MATCH($B231, 'Summary of Results'!$A:$A, 0)) - 1)*100), NA()) = "", "", IFERROR(IF($C$155 = "Absolute", INDEX('Summary of Results'!I:I, MATCH($B231, 'Summary of Results'!$A:$A, 0)), (INDEX('Summary of Results'!I:I, MATCH($B231, 'Summary of Results'!$A:$A, 0))/INDEX('Summary of Results'!$G:$G, MATCH($B231, 'Summary of Results'!$A:$A, 0)) - 1)*100), NA()))</f>
        <v>#N/A</v>
      </c>
      <c r="G231" s="908" t="e">
        <f>IF(IFERROR(IF($C$155 = "Absolute", INDEX('Summary of Results'!J:J, MATCH($B231, 'Summary of Results'!$A:$A, 0)), (INDEX('Summary of Results'!J:J, MATCH($B231, 'Summary of Results'!$A:$A, 0))/INDEX('Summary of Results'!$G:$G, MATCH($B231, 'Summary of Results'!$A:$A, 0)) - 1)*100), NA()) = "", "", IFERROR(IF($C$155 = "Absolute", INDEX('Summary of Results'!J:J, MATCH($B231, 'Summary of Results'!$A:$A, 0)), (INDEX('Summary of Results'!J:J, MATCH($B231, 'Summary of Results'!$A:$A, 0))/INDEX('Summary of Results'!$G:$G, MATCH($B231, 'Summary of Results'!$A:$A, 0)) - 1)*100), NA()))</f>
        <v>#N/A</v>
      </c>
      <c r="H231" s="908" t="e">
        <f>IF(IFERROR(IF($C$155 = "Absolute", INDEX('Summary of Results'!K:K, MATCH($B231, 'Summary of Results'!$A:$A, 0)), (INDEX('Summary of Results'!K:K, MATCH($B231, 'Summary of Results'!$A:$A, 0))/INDEX('Summary of Results'!$G:$G, MATCH($B231, 'Summary of Results'!$A:$A, 0)) - 1)*100), NA()) = "", "", IFERROR(IF($C$155 = "Absolute", INDEX('Summary of Results'!K:K, MATCH($B231, 'Summary of Results'!$A:$A, 0)), (INDEX('Summary of Results'!K:K, MATCH($B231, 'Summary of Results'!$A:$A, 0))/INDEX('Summary of Results'!$G:$G, MATCH($B231, 'Summary of Results'!$A:$A, 0)) - 1)*100), NA()))</f>
        <v>#N/A</v>
      </c>
      <c r="I231" s="908" t="e">
        <f>IF(IFERROR(IF($C$155 = "Absolute", INDEX('Summary of Results'!L:L, MATCH($B231, 'Summary of Results'!$A:$A, 0)), (INDEX('Summary of Results'!L:L, MATCH($B231, 'Summary of Results'!$A:$A, 0))/INDEX('Summary of Results'!$G:$G, MATCH($B231, 'Summary of Results'!$A:$A, 0)) - 1)*100), NA()) = "", "", IFERROR(IF($C$155 = "Absolute", INDEX('Summary of Results'!L:L, MATCH($B231, 'Summary of Results'!$A:$A, 0)), (INDEX('Summary of Results'!L:L, MATCH($B231, 'Summary of Results'!$A:$A, 0))/INDEX('Summary of Results'!$G:$G, MATCH($B231, 'Summary of Results'!$A:$A, 0)) - 1)*100), NA()))</f>
        <v>#N/A</v>
      </c>
      <c r="J231" s="908" t="e">
        <f>IF(IFERROR(IF($C$155 = "Absolute", INDEX('Summary of Results'!M:M, MATCH($B231, 'Summary of Results'!$A:$A, 0)), (INDEX('Summary of Results'!M:M, MATCH($B231, 'Summary of Results'!$A:$A, 0))/INDEX('Summary of Results'!$G:$G, MATCH($B231, 'Summary of Results'!$A:$A, 0)) - 1)*100), NA()) = "", "", IFERROR(IF($C$155 = "Absolute", INDEX('Summary of Results'!M:M, MATCH($B231, 'Summary of Results'!$A:$A, 0)), (INDEX('Summary of Results'!M:M, MATCH($B231, 'Summary of Results'!$A:$A, 0))/INDEX('Summary of Results'!$G:$G, MATCH($B231, 'Summary of Results'!$A:$A, 0)) - 1)*100), NA()))</f>
        <v>#N/A</v>
      </c>
      <c r="K231"/>
      <c r="L231"/>
      <c r="M231"/>
      <c r="N231"/>
      <c r="O231"/>
      <c r="P231"/>
      <c r="Q231"/>
      <c r="R231"/>
      <c r="S231"/>
      <c r="T231"/>
      <c r="U231"/>
      <c r="V231"/>
      <c r="W231"/>
      <c r="X231"/>
      <c r="Y231"/>
      <c r="Z231"/>
      <c r="AA231"/>
      <c r="AB231"/>
      <c r="AC231"/>
      <c r="AD231"/>
      <c r="AE231"/>
      <c r="AF231"/>
      <c r="AG231"/>
      <c r="AH231"/>
      <c r="AI231"/>
      <c r="AJ231"/>
      <c r="AK231"/>
      <c r="AL231"/>
      <c r="AM231"/>
      <c r="AN231"/>
      <c r="AO231"/>
    </row>
    <row r="232" spans="1:41" x14ac:dyDescent="0.2">
      <c r="A232"/>
      <c r="B232" s="27">
        <v>32</v>
      </c>
      <c r="C232" s="907" t="e">
        <f>IFERROR(INDEX('Summary of Results'!$B:$B, MATCH(B232, 'Summary of Results'!$A:$A, 0)), NA())</f>
        <v>#N/A</v>
      </c>
      <c r="D232" s="908" t="e">
        <f>IF(IFERROR(IF($C$155 = "Absolute", INDEX('Summary of Results'!G:G, MATCH($B232, 'Summary of Results'!$A:$A, 0)), (INDEX('Summary of Results'!G:G, MATCH($B232, 'Summary of Results'!$A:$A, 0))/INDEX('Summary of Results'!$G:$G, MATCH($B232, 'Summary of Results'!$A:$A, 0)) - 1)*100), NA()) = "", "", IFERROR(IF($C$155 = "Absolute", INDEX('Summary of Results'!G:G, MATCH($B232, 'Summary of Results'!$A:$A, 0)), (INDEX('Summary of Results'!G:G, MATCH($B232, 'Summary of Results'!$A:$A, 0))/INDEX('Summary of Results'!$G:$G, MATCH($B232, 'Summary of Results'!$A:$A, 0)) - 1)*100), NA()))</f>
        <v>#N/A</v>
      </c>
      <c r="E232" s="908" t="e">
        <f>IF(IFERROR(IF($C$155 = "Absolute", INDEX('Summary of Results'!H:H, MATCH($B232, 'Summary of Results'!$A:$A, 0)), (INDEX('Summary of Results'!H:H, MATCH($B232, 'Summary of Results'!$A:$A, 0))/INDEX('Summary of Results'!$G:$G, MATCH($B232, 'Summary of Results'!$A:$A, 0)) - 1)*100), NA()) = "", "", IFERROR(IF($C$155 = "Absolute", INDEX('Summary of Results'!H:H, MATCH($B232, 'Summary of Results'!$A:$A, 0)), (INDEX('Summary of Results'!H:H, MATCH($B232, 'Summary of Results'!$A:$A, 0))/INDEX('Summary of Results'!$G:$G, MATCH($B232, 'Summary of Results'!$A:$A, 0)) - 1)*100), NA()))</f>
        <v>#N/A</v>
      </c>
      <c r="F232" s="908" t="e">
        <f>IF(IFERROR(IF($C$155 = "Absolute", INDEX('Summary of Results'!I:I, MATCH($B232, 'Summary of Results'!$A:$A, 0)), (INDEX('Summary of Results'!I:I, MATCH($B232, 'Summary of Results'!$A:$A, 0))/INDEX('Summary of Results'!$G:$G, MATCH($B232, 'Summary of Results'!$A:$A, 0)) - 1)*100), NA()) = "", "", IFERROR(IF($C$155 = "Absolute", INDEX('Summary of Results'!I:I, MATCH($B232, 'Summary of Results'!$A:$A, 0)), (INDEX('Summary of Results'!I:I, MATCH($B232, 'Summary of Results'!$A:$A, 0))/INDEX('Summary of Results'!$G:$G, MATCH($B232, 'Summary of Results'!$A:$A, 0)) - 1)*100), NA()))</f>
        <v>#N/A</v>
      </c>
      <c r="G232" s="908" t="e">
        <f>IF(IFERROR(IF($C$155 = "Absolute", INDEX('Summary of Results'!J:J, MATCH($B232, 'Summary of Results'!$A:$A, 0)), (INDEX('Summary of Results'!J:J, MATCH($B232, 'Summary of Results'!$A:$A, 0))/INDEX('Summary of Results'!$G:$G, MATCH($B232, 'Summary of Results'!$A:$A, 0)) - 1)*100), NA()) = "", "", IFERROR(IF($C$155 = "Absolute", INDEX('Summary of Results'!J:J, MATCH($B232, 'Summary of Results'!$A:$A, 0)), (INDEX('Summary of Results'!J:J, MATCH($B232, 'Summary of Results'!$A:$A, 0))/INDEX('Summary of Results'!$G:$G, MATCH($B232, 'Summary of Results'!$A:$A, 0)) - 1)*100), NA()))</f>
        <v>#N/A</v>
      </c>
      <c r="H232" s="908" t="e">
        <f>IF(IFERROR(IF($C$155 = "Absolute", INDEX('Summary of Results'!K:K, MATCH($B232, 'Summary of Results'!$A:$A, 0)), (INDEX('Summary of Results'!K:K, MATCH($B232, 'Summary of Results'!$A:$A, 0))/INDEX('Summary of Results'!$G:$G, MATCH($B232, 'Summary of Results'!$A:$A, 0)) - 1)*100), NA()) = "", "", IFERROR(IF($C$155 = "Absolute", INDEX('Summary of Results'!K:K, MATCH($B232, 'Summary of Results'!$A:$A, 0)), (INDEX('Summary of Results'!K:K, MATCH($B232, 'Summary of Results'!$A:$A, 0))/INDEX('Summary of Results'!$G:$G, MATCH($B232, 'Summary of Results'!$A:$A, 0)) - 1)*100), NA()))</f>
        <v>#N/A</v>
      </c>
      <c r="I232" s="908" t="e">
        <f>IF(IFERROR(IF($C$155 = "Absolute", INDEX('Summary of Results'!L:L, MATCH($B232, 'Summary of Results'!$A:$A, 0)), (INDEX('Summary of Results'!L:L, MATCH($B232, 'Summary of Results'!$A:$A, 0))/INDEX('Summary of Results'!$G:$G, MATCH($B232, 'Summary of Results'!$A:$A, 0)) - 1)*100), NA()) = "", "", IFERROR(IF($C$155 = "Absolute", INDEX('Summary of Results'!L:L, MATCH($B232, 'Summary of Results'!$A:$A, 0)), (INDEX('Summary of Results'!L:L, MATCH($B232, 'Summary of Results'!$A:$A, 0))/INDEX('Summary of Results'!$G:$G, MATCH($B232, 'Summary of Results'!$A:$A, 0)) - 1)*100), NA()))</f>
        <v>#N/A</v>
      </c>
      <c r="J232" s="908" t="e">
        <f>IF(IFERROR(IF($C$155 = "Absolute", INDEX('Summary of Results'!M:M, MATCH($B232, 'Summary of Results'!$A:$A, 0)), (INDEX('Summary of Results'!M:M, MATCH($B232, 'Summary of Results'!$A:$A, 0))/INDEX('Summary of Results'!$G:$G, MATCH($B232, 'Summary of Results'!$A:$A, 0)) - 1)*100), NA()) = "", "", IFERROR(IF($C$155 = "Absolute", INDEX('Summary of Results'!M:M, MATCH($B232, 'Summary of Results'!$A:$A, 0)), (INDEX('Summary of Results'!M:M, MATCH($B232, 'Summary of Results'!$A:$A, 0))/INDEX('Summary of Results'!$G:$G, MATCH($B232, 'Summary of Results'!$A:$A, 0)) - 1)*100), NA()))</f>
        <v>#N/A</v>
      </c>
      <c r="K232"/>
      <c r="L232"/>
      <c r="M232"/>
      <c r="N232"/>
      <c r="O232"/>
      <c r="P232"/>
      <c r="Q232"/>
      <c r="R232"/>
      <c r="S232"/>
      <c r="T232"/>
      <c r="U232"/>
      <c r="V232"/>
      <c r="W232"/>
      <c r="X232"/>
      <c r="Y232"/>
      <c r="Z232"/>
      <c r="AA232"/>
      <c r="AB232"/>
      <c r="AC232"/>
      <c r="AD232"/>
      <c r="AE232"/>
      <c r="AF232"/>
      <c r="AG232"/>
      <c r="AH232"/>
      <c r="AI232"/>
      <c r="AJ232"/>
      <c r="AK232"/>
      <c r="AL232"/>
      <c r="AM232"/>
      <c r="AN232"/>
      <c r="AO232"/>
    </row>
    <row r="233" spans="1:41" x14ac:dyDescent="0.2">
      <c r="A233"/>
      <c r="B233" s="27">
        <v>33</v>
      </c>
      <c r="C233" s="907" t="e">
        <f>IFERROR(INDEX('Summary of Results'!$B:$B, MATCH(B233, 'Summary of Results'!$A:$A, 0)), NA())</f>
        <v>#N/A</v>
      </c>
      <c r="D233" s="908" t="e">
        <f>IF(IFERROR(IF($C$155 = "Absolute", INDEX('Summary of Results'!G:G, MATCH($B233, 'Summary of Results'!$A:$A, 0)), (INDEX('Summary of Results'!G:G, MATCH($B233, 'Summary of Results'!$A:$A, 0))/INDEX('Summary of Results'!$G:$G, MATCH($B233, 'Summary of Results'!$A:$A, 0)) - 1)*100), NA()) = "", "", IFERROR(IF($C$155 = "Absolute", INDEX('Summary of Results'!G:G, MATCH($B233, 'Summary of Results'!$A:$A, 0)), (INDEX('Summary of Results'!G:G, MATCH($B233, 'Summary of Results'!$A:$A, 0))/INDEX('Summary of Results'!$G:$G, MATCH($B233, 'Summary of Results'!$A:$A, 0)) - 1)*100), NA()))</f>
        <v>#N/A</v>
      </c>
      <c r="E233" s="908" t="e">
        <f>IF(IFERROR(IF($C$155 = "Absolute", INDEX('Summary of Results'!H:H, MATCH($B233, 'Summary of Results'!$A:$A, 0)), (INDEX('Summary of Results'!H:H, MATCH($B233, 'Summary of Results'!$A:$A, 0))/INDEX('Summary of Results'!$G:$G, MATCH($B233, 'Summary of Results'!$A:$A, 0)) - 1)*100), NA()) = "", "", IFERROR(IF($C$155 = "Absolute", INDEX('Summary of Results'!H:H, MATCH($B233, 'Summary of Results'!$A:$A, 0)), (INDEX('Summary of Results'!H:H, MATCH($B233, 'Summary of Results'!$A:$A, 0))/INDEX('Summary of Results'!$G:$G, MATCH($B233, 'Summary of Results'!$A:$A, 0)) - 1)*100), NA()))</f>
        <v>#N/A</v>
      </c>
      <c r="F233" s="908" t="e">
        <f>IF(IFERROR(IF($C$155 = "Absolute", INDEX('Summary of Results'!I:I, MATCH($B233, 'Summary of Results'!$A:$A, 0)), (INDEX('Summary of Results'!I:I, MATCH($B233, 'Summary of Results'!$A:$A, 0))/INDEX('Summary of Results'!$G:$G, MATCH($B233, 'Summary of Results'!$A:$A, 0)) - 1)*100), NA()) = "", "", IFERROR(IF($C$155 = "Absolute", INDEX('Summary of Results'!I:I, MATCH($B233, 'Summary of Results'!$A:$A, 0)), (INDEX('Summary of Results'!I:I, MATCH($B233, 'Summary of Results'!$A:$A, 0))/INDEX('Summary of Results'!$G:$G, MATCH($B233, 'Summary of Results'!$A:$A, 0)) - 1)*100), NA()))</f>
        <v>#N/A</v>
      </c>
      <c r="G233" s="908" t="e">
        <f>IF(IFERROR(IF($C$155 = "Absolute", INDEX('Summary of Results'!J:J, MATCH($B233, 'Summary of Results'!$A:$A, 0)), (INDEX('Summary of Results'!J:J, MATCH($B233, 'Summary of Results'!$A:$A, 0))/INDEX('Summary of Results'!$G:$G, MATCH($B233, 'Summary of Results'!$A:$A, 0)) - 1)*100), NA()) = "", "", IFERROR(IF($C$155 = "Absolute", INDEX('Summary of Results'!J:J, MATCH($B233, 'Summary of Results'!$A:$A, 0)), (INDEX('Summary of Results'!J:J, MATCH($B233, 'Summary of Results'!$A:$A, 0))/INDEX('Summary of Results'!$G:$G, MATCH($B233, 'Summary of Results'!$A:$A, 0)) - 1)*100), NA()))</f>
        <v>#N/A</v>
      </c>
      <c r="H233" s="908" t="e">
        <f>IF(IFERROR(IF($C$155 = "Absolute", INDEX('Summary of Results'!K:K, MATCH($B233, 'Summary of Results'!$A:$A, 0)), (INDEX('Summary of Results'!K:K, MATCH($B233, 'Summary of Results'!$A:$A, 0))/INDEX('Summary of Results'!$G:$G, MATCH($B233, 'Summary of Results'!$A:$A, 0)) - 1)*100), NA()) = "", "", IFERROR(IF($C$155 = "Absolute", INDEX('Summary of Results'!K:K, MATCH($B233, 'Summary of Results'!$A:$A, 0)), (INDEX('Summary of Results'!K:K, MATCH($B233, 'Summary of Results'!$A:$A, 0))/INDEX('Summary of Results'!$G:$G, MATCH($B233, 'Summary of Results'!$A:$A, 0)) - 1)*100), NA()))</f>
        <v>#N/A</v>
      </c>
      <c r="I233" s="908" t="e">
        <f>IF(IFERROR(IF($C$155 = "Absolute", INDEX('Summary of Results'!L:L, MATCH($B233, 'Summary of Results'!$A:$A, 0)), (INDEX('Summary of Results'!L:L, MATCH($B233, 'Summary of Results'!$A:$A, 0))/INDEX('Summary of Results'!$G:$G, MATCH($B233, 'Summary of Results'!$A:$A, 0)) - 1)*100), NA()) = "", "", IFERROR(IF($C$155 = "Absolute", INDEX('Summary of Results'!L:L, MATCH($B233, 'Summary of Results'!$A:$A, 0)), (INDEX('Summary of Results'!L:L, MATCH($B233, 'Summary of Results'!$A:$A, 0))/INDEX('Summary of Results'!$G:$G, MATCH($B233, 'Summary of Results'!$A:$A, 0)) - 1)*100), NA()))</f>
        <v>#N/A</v>
      </c>
      <c r="J233" s="908" t="e">
        <f>IF(IFERROR(IF($C$155 = "Absolute", INDEX('Summary of Results'!M:M, MATCH($B233, 'Summary of Results'!$A:$A, 0)), (INDEX('Summary of Results'!M:M, MATCH($B233, 'Summary of Results'!$A:$A, 0))/INDEX('Summary of Results'!$G:$G, MATCH($B233, 'Summary of Results'!$A:$A, 0)) - 1)*100), NA()) = "", "", IFERROR(IF($C$155 = "Absolute", INDEX('Summary of Results'!M:M, MATCH($B233, 'Summary of Results'!$A:$A, 0)), (INDEX('Summary of Results'!M:M, MATCH($B233, 'Summary of Results'!$A:$A, 0))/INDEX('Summary of Results'!$G:$G, MATCH($B233, 'Summary of Results'!$A:$A, 0)) - 1)*100), NA()))</f>
        <v>#N/A</v>
      </c>
      <c r="K233"/>
      <c r="L233"/>
      <c r="M233"/>
      <c r="N233"/>
      <c r="O233"/>
      <c r="P233"/>
      <c r="Q233"/>
      <c r="R233"/>
      <c r="S233"/>
      <c r="T233"/>
      <c r="U233"/>
      <c r="V233"/>
      <c r="W233"/>
      <c r="X233"/>
      <c r="Y233"/>
      <c r="Z233"/>
      <c r="AA233"/>
      <c r="AB233"/>
      <c r="AC233"/>
      <c r="AD233"/>
      <c r="AE233"/>
      <c r="AF233"/>
      <c r="AG233"/>
      <c r="AH233"/>
      <c r="AI233"/>
      <c r="AJ233"/>
      <c r="AK233"/>
      <c r="AL233"/>
      <c r="AM233"/>
      <c r="AN233"/>
      <c r="AO233"/>
    </row>
    <row r="234" spans="1:41" x14ac:dyDescent="0.2">
      <c r="A234"/>
      <c r="B234" s="27">
        <v>34</v>
      </c>
      <c r="C234" s="907" t="e">
        <f>IFERROR(INDEX('Summary of Results'!$B:$B, MATCH(B234, 'Summary of Results'!$A:$A, 0)), NA())</f>
        <v>#N/A</v>
      </c>
      <c r="D234" s="908" t="e">
        <f>IF(IFERROR(IF($C$155 = "Absolute", INDEX('Summary of Results'!G:G, MATCH($B234, 'Summary of Results'!$A:$A, 0)), (INDEX('Summary of Results'!G:G, MATCH($B234, 'Summary of Results'!$A:$A, 0))/INDEX('Summary of Results'!$G:$G, MATCH($B234, 'Summary of Results'!$A:$A, 0)) - 1)*100), NA()) = "", "", IFERROR(IF($C$155 = "Absolute", INDEX('Summary of Results'!G:G, MATCH($B234, 'Summary of Results'!$A:$A, 0)), (INDEX('Summary of Results'!G:G, MATCH($B234, 'Summary of Results'!$A:$A, 0))/INDEX('Summary of Results'!$G:$G, MATCH($B234, 'Summary of Results'!$A:$A, 0)) - 1)*100), NA()))</f>
        <v>#N/A</v>
      </c>
      <c r="E234" s="908" t="e">
        <f>IF(IFERROR(IF($C$155 = "Absolute", INDEX('Summary of Results'!H:H, MATCH($B234, 'Summary of Results'!$A:$A, 0)), (INDEX('Summary of Results'!H:H, MATCH($B234, 'Summary of Results'!$A:$A, 0))/INDEX('Summary of Results'!$G:$G, MATCH($B234, 'Summary of Results'!$A:$A, 0)) - 1)*100), NA()) = "", "", IFERROR(IF($C$155 = "Absolute", INDEX('Summary of Results'!H:H, MATCH($B234, 'Summary of Results'!$A:$A, 0)), (INDEX('Summary of Results'!H:H, MATCH($B234, 'Summary of Results'!$A:$A, 0))/INDEX('Summary of Results'!$G:$G, MATCH($B234, 'Summary of Results'!$A:$A, 0)) - 1)*100), NA()))</f>
        <v>#N/A</v>
      </c>
      <c r="F234" s="908" t="e">
        <f>IF(IFERROR(IF($C$155 = "Absolute", INDEX('Summary of Results'!I:I, MATCH($B234, 'Summary of Results'!$A:$A, 0)), (INDEX('Summary of Results'!I:I, MATCH($B234, 'Summary of Results'!$A:$A, 0))/INDEX('Summary of Results'!$G:$G, MATCH($B234, 'Summary of Results'!$A:$A, 0)) - 1)*100), NA()) = "", "", IFERROR(IF($C$155 = "Absolute", INDEX('Summary of Results'!I:I, MATCH($B234, 'Summary of Results'!$A:$A, 0)), (INDEX('Summary of Results'!I:I, MATCH($B234, 'Summary of Results'!$A:$A, 0))/INDEX('Summary of Results'!$G:$G, MATCH($B234, 'Summary of Results'!$A:$A, 0)) - 1)*100), NA()))</f>
        <v>#N/A</v>
      </c>
      <c r="G234" s="908" t="e">
        <f>IF(IFERROR(IF($C$155 = "Absolute", INDEX('Summary of Results'!J:J, MATCH($B234, 'Summary of Results'!$A:$A, 0)), (INDEX('Summary of Results'!J:J, MATCH($B234, 'Summary of Results'!$A:$A, 0))/INDEX('Summary of Results'!$G:$G, MATCH($B234, 'Summary of Results'!$A:$A, 0)) - 1)*100), NA()) = "", "", IFERROR(IF($C$155 = "Absolute", INDEX('Summary of Results'!J:J, MATCH($B234, 'Summary of Results'!$A:$A, 0)), (INDEX('Summary of Results'!J:J, MATCH($B234, 'Summary of Results'!$A:$A, 0))/INDEX('Summary of Results'!$G:$G, MATCH($B234, 'Summary of Results'!$A:$A, 0)) - 1)*100), NA()))</f>
        <v>#N/A</v>
      </c>
      <c r="H234" s="908" t="e">
        <f>IF(IFERROR(IF($C$155 = "Absolute", INDEX('Summary of Results'!K:K, MATCH($B234, 'Summary of Results'!$A:$A, 0)), (INDEX('Summary of Results'!K:K, MATCH($B234, 'Summary of Results'!$A:$A, 0))/INDEX('Summary of Results'!$G:$G, MATCH($B234, 'Summary of Results'!$A:$A, 0)) - 1)*100), NA()) = "", "", IFERROR(IF($C$155 = "Absolute", INDEX('Summary of Results'!K:K, MATCH($B234, 'Summary of Results'!$A:$A, 0)), (INDEX('Summary of Results'!K:K, MATCH($B234, 'Summary of Results'!$A:$A, 0))/INDEX('Summary of Results'!$G:$G, MATCH($B234, 'Summary of Results'!$A:$A, 0)) - 1)*100), NA()))</f>
        <v>#N/A</v>
      </c>
      <c r="I234" s="908" t="e">
        <f>IF(IFERROR(IF($C$155 = "Absolute", INDEX('Summary of Results'!L:L, MATCH($B234, 'Summary of Results'!$A:$A, 0)), (INDEX('Summary of Results'!L:L, MATCH($B234, 'Summary of Results'!$A:$A, 0))/INDEX('Summary of Results'!$G:$G, MATCH($B234, 'Summary of Results'!$A:$A, 0)) - 1)*100), NA()) = "", "", IFERROR(IF($C$155 = "Absolute", INDEX('Summary of Results'!L:L, MATCH($B234, 'Summary of Results'!$A:$A, 0)), (INDEX('Summary of Results'!L:L, MATCH($B234, 'Summary of Results'!$A:$A, 0))/INDEX('Summary of Results'!$G:$G, MATCH($B234, 'Summary of Results'!$A:$A, 0)) - 1)*100), NA()))</f>
        <v>#N/A</v>
      </c>
      <c r="J234" s="908" t="e">
        <f>IF(IFERROR(IF($C$155 = "Absolute", INDEX('Summary of Results'!M:M, MATCH($B234, 'Summary of Results'!$A:$A, 0)), (INDEX('Summary of Results'!M:M, MATCH($B234, 'Summary of Results'!$A:$A, 0))/INDEX('Summary of Results'!$G:$G, MATCH($B234, 'Summary of Results'!$A:$A, 0)) - 1)*100), NA()) = "", "", IFERROR(IF($C$155 = "Absolute", INDEX('Summary of Results'!M:M, MATCH($B234, 'Summary of Results'!$A:$A, 0)), (INDEX('Summary of Results'!M:M, MATCH($B234, 'Summary of Results'!$A:$A, 0))/INDEX('Summary of Results'!$G:$G, MATCH($B234, 'Summary of Results'!$A:$A, 0)) - 1)*100), NA()))</f>
        <v>#N/A</v>
      </c>
      <c r="K234"/>
      <c r="L234"/>
      <c r="M234"/>
      <c r="N234"/>
      <c r="O234"/>
      <c r="P234"/>
      <c r="Q234"/>
      <c r="R234"/>
      <c r="S234"/>
      <c r="T234"/>
      <c r="U234"/>
      <c r="V234"/>
      <c r="W234"/>
      <c r="X234"/>
      <c r="Y234"/>
      <c r="Z234"/>
      <c r="AA234"/>
      <c r="AB234"/>
      <c r="AC234"/>
      <c r="AD234"/>
      <c r="AE234"/>
      <c r="AF234"/>
      <c r="AG234"/>
      <c r="AH234"/>
      <c r="AI234"/>
      <c r="AJ234"/>
      <c r="AK234"/>
      <c r="AL234"/>
      <c r="AM234"/>
      <c r="AN234"/>
      <c r="AO234"/>
    </row>
    <row r="235" spans="1:41" x14ac:dyDescent="0.2">
      <c r="A235"/>
      <c r="B235" s="27">
        <v>35</v>
      </c>
      <c r="C235" s="907" t="e">
        <f>IFERROR(INDEX('Summary of Results'!$B:$B, MATCH(B235, 'Summary of Results'!$A:$A, 0)), NA())</f>
        <v>#N/A</v>
      </c>
      <c r="D235" s="908" t="e">
        <f>IF(IFERROR(IF($C$155 = "Absolute", INDEX('Summary of Results'!G:G, MATCH($B235, 'Summary of Results'!$A:$A, 0)), (INDEX('Summary of Results'!G:G, MATCH($B235, 'Summary of Results'!$A:$A, 0))/INDEX('Summary of Results'!$G:$G, MATCH($B235, 'Summary of Results'!$A:$A, 0)) - 1)*100), NA()) = "", "", IFERROR(IF($C$155 = "Absolute", INDEX('Summary of Results'!G:G, MATCH($B235, 'Summary of Results'!$A:$A, 0)), (INDEX('Summary of Results'!G:G, MATCH($B235, 'Summary of Results'!$A:$A, 0))/INDEX('Summary of Results'!$G:$G, MATCH($B235, 'Summary of Results'!$A:$A, 0)) - 1)*100), NA()))</f>
        <v>#N/A</v>
      </c>
      <c r="E235" s="908" t="e">
        <f>IF(IFERROR(IF($C$155 = "Absolute", INDEX('Summary of Results'!H:H, MATCH($B235, 'Summary of Results'!$A:$A, 0)), (INDEX('Summary of Results'!H:H, MATCH($B235, 'Summary of Results'!$A:$A, 0))/INDEX('Summary of Results'!$G:$G, MATCH($B235, 'Summary of Results'!$A:$A, 0)) - 1)*100), NA()) = "", "", IFERROR(IF($C$155 = "Absolute", INDEX('Summary of Results'!H:H, MATCH($B235, 'Summary of Results'!$A:$A, 0)), (INDEX('Summary of Results'!H:H, MATCH($B235, 'Summary of Results'!$A:$A, 0))/INDEX('Summary of Results'!$G:$G, MATCH($B235, 'Summary of Results'!$A:$A, 0)) - 1)*100), NA()))</f>
        <v>#N/A</v>
      </c>
      <c r="F235" s="908" t="e">
        <f>IF(IFERROR(IF($C$155 = "Absolute", INDEX('Summary of Results'!I:I, MATCH($B235, 'Summary of Results'!$A:$A, 0)), (INDEX('Summary of Results'!I:I, MATCH($B235, 'Summary of Results'!$A:$A, 0))/INDEX('Summary of Results'!$G:$G, MATCH($B235, 'Summary of Results'!$A:$A, 0)) - 1)*100), NA()) = "", "", IFERROR(IF($C$155 = "Absolute", INDEX('Summary of Results'!I:I, MATCH($B235, 'Summary of Results'!$A:$A, 0)), (INDEX('Summary of Results'!I:I, MATCH($B235, 'Summary of Results'!$A:$A, 0))/INDEX('Summary of Results'!$G:$G, MATCH($B235, 'Summary of Results'!$A:$A, 0)) - 1)*100), NA()))</f>
        <v>#N/A</v>
      </c>
      <c r="G235" s="908" t="e">
        <f>IF(IFERROR(IF($C$155 = "Absolute", INDEX('Summary of Results'!J:J, MATCH($B235, 'Summary of Results'!$A:$A, 0)), (INDEX('Summary of Results'!J:J, MATCH($B235, 'Summary of Results'!$A:$A, 0))/INDEX('Summary of Results'!$G:$G, MATCH($B235, 'Summary of Results'!$A:$A, 0)) - 1)*100), NA()) = "", "", IFERROR(IF($C$155 = "Absolute", INDEX('Summary of Results'!J:J, MATCH($B235, 'Summary of Results'!$A:$A, 0)), (INDEX('Summary of Results'!J:J, MATCH($B235, 'Summary of Results'!$A:$A, 0))/INDEX('Summary of Results'!$G:$G, MATCH($B235, 'Summary of Results'!$A:$A, 0)) - 1)*100), NA()))</f>
        <v>#N/A</v>
      </c>
      <c r="H235" s="908" t="e">
        <f>IF(IFERROR(IF($C$155 = "Absolute", INDEX('Summary of Results'!K:K, MATCH($B235, 'Summary of Results'!$A:$A, 0)), (INDEX('Summary of Results'!K:K, MATCH($B235, 'Summary of Results'!$A:$A, 0))/INDEX('Summary of Results'!$G:$G, MATCH($B235, 'Summary of Results'!$A:$A, 0)) - 1)*100), NA()) = "", "", IFERROR(IF($C$155 = "Absolute", INDEX('Summary of Results'!K:K, MATCH($B235, 'Summary of Results'!$A:$A, 0)), (INDEX('Summary of Results'!K:K, MATCH($B235, 'Summary of Results'!$A:$A, 0))/INDEX('Summary of Results'!$G:$G, MATCH($B235, 'Summary of Results'!$A:$A, 0)) - 1)*100), NA()))</f>
        <v>#N/A</v>
      </c>
      <c r="I235" s="908" t="e">
        <f>IF(IFERROR(IF($C$155 = "Absolute", INDEX('Summary of Results'!L:L, MATCH($B235, 'Summary of Results'!$A:$A, 0)), (INDEX('Summary of Results'!L:L, MATCH($B235, 'Summary of Results'!$A:$A, 0))/INDEX('Summary of Results'!$G:$G, MATCH($B235, 'Summary of Results'!$A:$A, 0)) - 1)*100), NA()) = "", "", IFERROR(IF($C$155 = "Absolute", INDEX('Summary of Results'!L:L, MATCH($B235, 'Summary of Results'!$A:$A, 0)), (INDEX('Summary of Results'!L:L, MATCH($B235, 'Summary of Results'!$A:$A, 0))/INDEX('Summary of Results'!$G:$G, MATCH($B235, 'Summary of Results'!$A:$A, 0)) - 1)*100), NA()))</f>
        <v>#N/A</v>
      </c>
      <c r="J235" s="908" t="e">
        <f>IF(IFERROR(IF($C$155 = "Absolute", INDEX('Summary of Results'!M:M, MATCH($B235, 'Summary of Results'!$A:$A, 0)), (INDEX('Summary of Results'!M:M, MATCH($B235, 'Summary of Results'!$A:$A, 0))/INDEX('Summary of Results'!$G:$G, MATCH($B235, 'Summary of Results'!$A:$A, 0)) - 1)*100), NA()) = "", "", IFERROR(IF($C$155 = "Absolute", INDEX('Summary of Results'!M:M, MATCH($B235, 'Summary of Results'!$A:$A, 0)), (INDEX('Summary of Results'!M:M, MATCH($B235, 'Summary of Results'!$A:$A, 0))/INDEX('Summary of Results'!$G:$G, MATCH($B235, 'Summary of Results'!$A:$A, 0)) - 1)*100), NA()))</f>
        <v>#N/A</v>
      </c>
      <c r="K235"/>
      <c r="L235"/>
      <c r="M235"/>
      <c r="N235"/>
      <c r="O235"/>
      <c r="P235"/>
      <c r="Q235"/>
      <c r="R235"/>
      <c r="S235"/>
      <c r="T235"/>
      <c r="U235"/>
      <c r="V235"/>
      <c r="W235"/>
      <c r="X235"/>
      <c r="Y235"/>
      <c r="Z235"/>
      <c r="AA235"/>
      <c r="AB235"/>
      <c r="AC235"/>
      <c r="AD235"/>
      <c r="AE235"/>
      <c r="AF235"/>
      <c r="AG235"/>
      <c r="AH235"/>
      <c r="AI235"/>
      <c r="AJ235"/>
      <c r="AK235"/>
      <c r="AL235"/>
      <c r="AM235"/>
      <c r="AN235"/>
      <c r="AO235"/>
    </row>
    <row r="236" spans="1:41" x14ac:dyDescent="0.2">
      <c r="A236"/>
      <c r="B236" s="27">
        <v>36</v>
      </c>
      <c r="C236" s="907" t="e">
        <f>IFERROR(INDEX('Summary of Results'!$B:$B, MATCH(B236, 'Summary of Results'!$A:$A, 0)), NA())</f>
        <v>#N/A</v>
      </c>
      <c r="D236" s="908" t="e">
        <f>IF(IFERROR(IF($C$155 = "Absolute", INDEX('Summary of Results'!G:G, MATCH($B236, 'Summary of Results'!$A:$A, 0)), (INDEX('Summary of Results'!G:G, MATCH($B236, 'Summary of Results'!$A:$A, 0))/INDEX('Summary of Results'!$G:$G, MATCH($B236, 'Summary of Results'!$A:$A, 0)) - 1)*100), NA()) = "", "", IFERROR(IF($C$155 = "Absolute", INDEX('Summary of Results'!G:G, MATCH($B236, 'Summary of Results'!$A:$A, 0)), (INDEX('Summary of Results'!G:G, MATCH($B236, 'Summary of Results'!$A:$A, 0))/INDEX('Summary of Results'!$G:$G, MATCH($B236, 'Summary of Results'!$A:$A, 0)) - 1)*100), NA()))</f>
        <v>#N/A</v>
      </c>
      <c r="E236" s="908" t="e">
        <f>IF(IFERROR(IF($C$155 = "Absolute", INDEX('Summary of Results'!H:H, MATCH($B236, 'Summary of Results'!$A:$A, 0)), (INDEX('Summary of Results'!H:H, MATCH($B236, 'Summary of Results'!$A:$A, 0))/INDEX('Summary of Results'!$G:$G, MATCH($B236, 'Summary of Results'!$A:$A, 0)) - 1)*100), NA()) = "", "", IFERROR(IF($C$155 = "Absolute", INDEX('Summary of Results'!H:H, MATCH($B236, 'Summary of Results'!$A:$A, 0)), (INDEX('Summary of Results'!H:H, MATCH($B236, 'Summary of Results'!$A:$A, 0))/INDEX('Summary of Results'!$G:$G, MATCH($B236, 'Summary of Results'!$A:$A, 0)) - 1)*100), NA()))</f>
        <v>#N/A</v>
      </c>
      <c r="F236" s="908" t="e">
        <f>IF(IFERROR(IF($C$155 = "Absolute", INDEX('Summary of Results'!I:I, MATCH($B236, 'Summary of Results'!$A:$A, 0)), (INDEX('Summary of Results'!I:I, MATCH($B236, 'Summary of Results'!$A:$A, 0))/INDEX('Summary of Results'!$G:$G, MATCH($B236, 'Summary of Results'!$A:$A, 0)) - 1)*100), NA()) = "", "", IFERROR(IF($C$155 = "Absolute", INDEX('Summary of Results'!I:I, MATCH($B236, 'Summary of Results'!$A:$A, 0)), (INDEX('Summary of Results'!I:I, MATCH($B236, 'Summary of Results'!$A:$A, 0))/INDEX('Summary of Results'!$G:$G, MATCH($B236, 'Summary of Results'!$A:$A, 0)) - 1)*100), NA()))</f>
        <v>#N/A</v>
      </c>
      <c r="G236" s="908" t="e">
        <f>IF(IFERROR(IF($C$155 = "Absolute", INDEX('Summary of Results'!J:J, MATCH($B236, 'Summary of Results'!$A:$A, 0)), (INDEX('Summary of Results'!J:J, MATCH($B236, 'Summary of Results'!$A:$A, 0))/INDEX('Summary of Results'!$G:$G, MATCH($B236, 'Summary of Results'!$A:$A, 0)) - 1)*100), NA()) = "", "", IFERROR(IF($C$155 = "Absolute", INDEX('Summary of Results'!J:J, MATCH($B236, 'Summary of Results'!$A:$A, 0)), (INDEX('Summary of Results'!J:J, MATCH($B236, 'Summary of Results'!$A:$A, 0))/INDEX('Summary of Results'!$G:$G, MATCH($B236, 'Summary of Results'!$A:$A, 0)) - 1)*100), NA()))</f>
        <v>#N/A</v>
      </c>
      <c r="H236" s="908" t="e">
        <f>IF(IFERROR(IF($C$155 = "Absolute", INDEX('Summary of Results'!K:K, MATCH($B236, 'Summary of Results'!$A:$A, 0)), (INDEX('Summary of Results'!K:K, MATCH($B236, 'Summary of Results'!$A:$A, 0))/INDEX('Summary of Results'!$G:$G, MATCH($B236, 'Summary of Results'!$A:$A, 0)) - 1)*100), NA()) = "", "", IFERROR(IF($C$155 = "Absolute", INDEX('Summary of Results'!K:K, MATCH($B236, 'Summary of Results'!$A:$A, 0)), (INDEX('Summary of Results'!K:K, MATCH($B236, 'Summary of Results'!$A:$A, 0))/INDEX('Summary of Results'!$G:$G, MATCH($B236, 'Summary of Results'!$A:$A, 0)) - 1)*100), NA()))</f>
        <v>#N/A</v>
      </c>
      <c r="I236" s="908" t="e">
        <f>IF(IFERROR(IF($C$155 = "Absolute", INDEX('Summary of Results'!L:L, MATCH($B236, 'Summary of Results'!$A:$A, 0)), (INDEX('Summary of Results'!L:L, MATCH($B236, 'Summary of Results'!$A:$A, 0))/INDEX('Summary of Results'!$G:$G, MATCH($B236, 'Summary of Results'!$A:$A, 0)) - 1)*100), NA()) = "", "", IFERROR(IF($C$155 = "Absolute", INDEX('Summary of Results'!L:L, MATCH($B236, 'Summary of Results'!$A:$A, 0)), (INDEX('Summary of Results'!L:L, MATCH($B236, 'Summary of Results'!$A:$A, 0))/INDEX('Summary of Results'!$G:$G, MATCH($B236, 'Summary of Results'!$A:$A, 0)) - 1)*100), NA()))</f>
        <v>#N/A</v>
      </c>
      <c r="J236" s="908" t="e">
        <f>IF(IFERROR(IF($C$155 = "Absolute", INDEX('Summary of Results'!M:M, MATCH($B236, 'Summary of Results'!$A:$A, 0)), (INDEX('Summary of Results'!M:M, MATCH($B236, 'Summary of Results'!$A:$A, 0))/INDEX('Summary of Results'!$G:$G, MATCH($B236, 'Summary of Results'!$A:$A, 0)) - 1)*100), NA()) = "", "", IFERROR(IF($C$155 = "Absolute", INDEX('Summary of Results'!M:M, MATCH($B236, 'Summary of Results'!$A:$A, 0)), (INDEX('Summary of Results'!M:M, MATCH($B236, 'Summary of Results'!$A:$A, 0))/INDEX('Summary of Results'!$G:$G, MATCH($B236, 'Summary of Results'!$A:$A, 0)) - 1)*100), NA()))</f>
        <v>#N/A</v>
      </c>
      <c r="K236"/>
      <c r="L236"/>
      <c r="M236"/>
      <c r="N236"/>
      <c r="O236"/>
      <c r="P236"/>
      <c r="Q236"/>
      <c r="R236"/>
      <c r="S236"/>
      <c r="T236"/>
      <c r="U236"/>
      <c r="V236"/>
      <c r="W236"/>
      <c r="X236"/>
      <c r="Y236"/>
      <c r="Z236"/>
      <c r="AA236"/>
      <c r="AB236"/>
      <c r="AC236"/>
      <c r="AD236"/>
      <c r="AE236"/>
      <c r="AF236"/>
      <c r="AG236"/>
      <c r="AH236"/>
      <c r="AI236"/>
      <c r="AJ236"/>
      <c r="AK236"/>
      <c r="AL236"/>
      <c r="AM236"/>
      <c r="AN236"/>
      <c r="AO236"/>
    </row>
    <row r="237" spans="1:41" x14ac:dyDescent="0.2">
      <c r="A237"/>
      <c r="B237" s="27">
        <v>37</v>
      </c>
      <c r="C237" s="907" t="e">
        <f>IFERROR(INDEX('Summary of Results'!$B:$B, MATCH(B237, 'Summary of Results'!$A:$A, 0)), NA())</f>
        <v>#N/A</v>
      </c>
      <c r="D237" s="908" t="e">
        <f>IF(IFERROR(IF($C$155 = "Absolute", INDEX('Summary of Results'!G:G, MATCH($B237, 'Summary of Results'!$A:$A, 0)), (INDEX('Summary of Results'!G:G, MATCH($B237, 'Summary of Results'!$A:$A, 0))/INDEX('Summary of Results'!$G:$G, MATCH($B237, 'Summary of Results'!$A:$A, 0)) - 1)*100), NA()) = "", "", IFERROR(IF($C$155 = "Absolute", INDEX('Summary of Results'!G:G, MATCH($B237, 'Summary of Results'!$A:$A, 0)), (INDEX('Summary of Results'!G:G, MATCH($B237, 'Summary of Results'!$A:$A, 0))/INDEX('Summary of Results'!$G:$G, MATCH($B237, 'Summary of Results'!$A:$A, 0)) - 1)*100), NA()))</f>
        <v>#N/A</v>
      </c>
      <c r="E237" s="908" t="e">
        <f>IF(IFERROR(IF($C$155 = "Absolute", INDEX('Summary of Results'!H:H, MATCH($B237, 'Summary of Results'!$A:$A, 0)), (INDEX('Summary of Results'!H:H, MATCH($B237, 'Summary of Results'!$A:$A, 0))/INDEX('Summary of Results'!$G:$G, MATCH($B237, 'Summary of Results'!$A:$A, 0)) - 1)*100), NA()) = "", "", IFERROR(IF($C$155 = "Absolute", INDEX('Summary of Results'!H:H, MATCH($B237, 'Summary of Results'!$A:$A, 0)), (INDEX('Summary of Results'!H:H, MATCH($B237, 'Summary of Results'!$A:$A, 0))/INDEX('Summary of Results'!$G:$G, MATCH($B237, 'Summary of Results'!$A:$A, 0)) - 1)*100), NA()))</f>
        <v>#N/A</v>
      </c>
      <c r="F237" s="908" t="e">
        <f>IF(IFERROR(IF($C$155 = "Absolute", INDEX('Summary of Results'!I:I, MATCH($B237, 'Summary of Results'!$A:$A, 0)), (INDEX('Summary of Results'!I:I, MATCH($B237, 'Summary of Results'!$A:$A, 0))/INDEX('Summary of Results'!$G:$G, MATCH($B237, 'Summary of Results'!$A:$A, 0)) - 1)*100), NA()) = "", "", IFERROR(IF($C$155 = "Absolute", INDEX('Summary of Results'!I:I, MATCH($B237, 'Summary of Results'!$A:$A, 0)), (INDEX('Summary of Results'!I:I, MATCH($B237, 'Summary of Results'!$A:$A, 0))/INDEX('Summary of Results'!$G:$G, MATCH($B237, 'Summary of Results'!$A:$A, 0)) - 1)*100), NA()))</f>
        <v>#N/A</v>
      </c>
      <c r="G237" s="908" t="e">
        <f>IF(IFERROR(IF($C$155 = "Absolute", INDEX('Summary of Results'!J:J, MATCH($B237, 'Summary of Results'!$A:$A, 0)), (INDEX('Summary of Results'!J:J, MATCH($B237, 'Summary of Results'!$A:$A, 0))/INDEX('Summary of Results'!$G:$G, MATCH($B237, 'Summary of Results'!$A:$A, 0)) - 1)*100), NA()) = "", "", IFERROR(IF($C$155 = "Absolute", INDEX('Summary of Results'!J:J, MATCH($B237, 'Summary of Results'!$A:$A, 0)), (INDEX('Summary of Results'!J:J, MATCH($B237, 'Summary of Results'!$A:$A, 0))/INDEX('Summary of Results'!$G:$G, MATCH($B237, 'Summary of Results'!$A:$A, 0)) - 1)*100), NA()))</f>
        <v>#N/A</v>
      </c>
      <c r="H237" s="908" t="e">
        <f>IF(IFERROR(IF($C$155 = "Absolute", INDEX('Summary of Results'!K:K, MATCH($B237, 'Summary of Results'!$A:$A, 0)), (INDEX('Summary of Results'!K:K, MATCH($B237, 'Summary of Results'!$A:$A, 0))/INDEX('Summary of Results'!$G:$G, MATCH($B237, 'Summary of Results'!$A:$A, 0)) - 1)*100), NA()) = "", "", IFERROR(IF($C$155 = "Absolute", INDEX('Summary of Results'!K:K, MATCH($B237, 'Summary of Results'!$A:$A, 0)), (INDEX('Summary of Results'!K:K, MATCH($B237, 'Summary of Results'!$A:$A, 0))/INDEX('Summary of Results'!$G:$G, MATCH($B237, 'Summary of Results'!$A:$A, 0)) - 1)*100), NA()))</f>
        <v>#N/A</v>
      </c>
      <c r="I237" s="908" t="e">
        <f>IF(IFERROR(IF($C$155 = "Absolute", INDEX('Summary of Results'!L:L, MATCH($B237, 'Summary of Results'!$A:$A, 0)), (INDEX('Summary of Results'!L:L, MATCH($B237, 'Summary of Results'!$A:$A, 0))/INDEX('Summary of Results'!$G:$G, MATCH($B237, 'Summary of Results'!$A:$A, 0)) - 1)*100), NA()) = "", "", IFERROR(IF($C$155 = "Absolute", INDEX('Summary of Results'!L:L, MATCH($B237, 'Summary of Results'!$A:$A, 0)), (INDEX('Summary of Results'!L:L, MATCH($B237, 'Summary of Results'!$A:$A, 0))/INDEX('Summary of Results'!$G:$G, MATCH($B237, 'Summary of Results'!$A:$A, 0)) - 1)*100), NA()))</f>
        <v>#N/A</v>
      </c>
      <c r="J237" s="908" t="e">
        <f>IF(IFERROR(IF($C$155 = "Absolute", INDEX('Summary of Results'!M:M, MATCH($B237, 'Summary of Results'!$A:$A, 0)), (INDEX('Summary of Results'!M:M, MATCH($B237, 'Summary of Results'!$A:$A, 0))/INDEX('Summary of Results'!$G:$G, MATCH($B237, 'Summary of Results'!$A:$A, 0)) - 1)*100), NA()) = "", "", IFERROR(IF($C$155 = "Absolute", INDEX('Summary of Results'!M:M, MATCH($B237, 'Summary of Results'!$A:$A, 0)), (INDEX('Summary of Results'!M:M, MATCH($B237, 'Summary of Results'!$A:$A, 0))/INDEX('Summary of Results'!$G:$G, MATCH($B237, 'Summary of Results'!$A:$A, 0)) - 1)*100), NA()))</f>
        <v>#N/A</v>
      </c>
      <c r="K237"/>
      <c r="L237"/>
      <c r="M237"/>
      <c r="N237"/>
      <c r="O237"/>
      <c r="P237"/>
      <c r="Q237"/>
      <c r="R237"/>
      <c r="S237"/>
      <c r="T237"/>
      <c r="U237"/>
      <c r="V237"/>
      <c r="W237"/>
      <c r="X237"/>
      <c r="Y237"/>
      <c r="Z237"/>
      <c r="AA237"/>
      <c r="AB237"/>
      <c r="AC237"/>
      <c r="AD237"/>
      <c r="AE237"/>
      <c r="AF237"/>
      <c r="AG237"/>
      <c r="AH237"/>
      <c r="AI237"/>
      <c r="AJ237"/>
      <c r="AK237"/>
      <c r="AL237"/>
      <c r="AM237"/>
      <c r="AN237"/>
      <c r="AO237"/>
    </row>
    <row r="238" spans="1:41" customFormat="1" x14ac:dyDescent="0.2">
      <c r="B238" s="27">
        <v>38</v>
      </c>
      <c r="C238" s="907" t="e">
        <f>IFERROR(INDEX('Summary of Results'!$B:$B, MATCH(B238, 'Summary of Results'!$A:$A, 0)), NA())</f>
        <v>#N/A</v>
      </c>
      <c r="D238" s="908" t="e">
        <f>IF(IFERROR(IF($C$155 = "Absolute", INDEX('Summary of Results'!G:G, MATCH($B238, 'Summary of Results'!$A:$A, 0)), (INDEX('Summary of Results'!G:G, MATCH($B238, 'Summary of Results'!$A:$A, 0))/INDEX('Summary of Results'!$G:$G, MATCH($B238, 'Summary of Results'!$A:$A, 0)) - 1)*100), NA()) = "", "", IFERROR(IF($C$155 = "Absolute", INDEX('Summary of Results'!G:G, MATCH($B238, 'Summary of Results'!$A:$A, 0)), (INDEX('Summary of Results'!G:G, MATCH($B238, 'Summary of Results'!$A:$A, 0))/INDEX('Summary of Results'!$G:$G, MATCH($B238, 'Summary of Results'!$A:$A, 0)) - 1)*100), NA()))</f>
        <v>#N/A</v>
      </c>
      <c r="E238" s="908" t="e">
        <f>IF(IFERROR(IF($C$155 = "Absolute", INDEX('Summary of Results'!H:H, MATCH($B238, 'Summary of Results'!$A:$A, 0)), (INDEX('Summary of Results'!H:H, MATCH($B238, 'Summary of Results'!$A:$A, 0))/INDEX('Summary of Results'!$G:$G, MATCH($B238, 'Summary of Results'!$A:$A, 0)) - 1)*100), NA()) = "", "", IFERROR(IF($C$155 = "Absolute", INDEX('Summary of Results'!H:H, MATCH($B238, 'Summary of Results'!$A:$A, 0)), (INDEX('Summary of Results'!H:H, MATCH($B238, 'Summary of Results'!$A:$A, 0))/INDEX('Summary of Results'!$G:$G, MATCH($B238, 'Summary of Results'!$A:$A, 0)) - 1)*100), NA()))</f>
        <v>#N/A</v>
      </c>
      <c r="F238" s="908" t="e">
        <f>IF(IFERROR(IF($C$155 = "Absolute", INDEX('Summary of Results'!I:I, MATCH($B238, 'Summary of Results'!$A:$A, 0)), (INDEX('Summary of Results'!I:I, MATCH($B238, 'Summary of Results'!$A:$A, 0))/INDEX('Summary of Results'!$G:$G, MATCH($B238, 'Summary of Results'!$A:$A, 0)) - 1)*100), NA()) = "", "", IFERROR(IF($C$155 = "Absolute", INDEX('Summary of Results'!I:I, MATCH($B238, 'Summary of Results'!$A:$A, 0)), (INDEX('Summary of Results'!I:I, MATCH($B238, 'Summary of Results'!$A:$A, 0))/INDEX('Summary of Results'!$G:$G, MATCH($B238, 'Summary of Results'!$A:$A, 0)) - 1)*100), NA()))</f>
        <v>#N/A</v>
      </c>
      <c r="G238" s="908" t="e">
        <f>IF(IFERROR(IF($C$155 = "Absolute", INDEX('Summary of Results'!J:J, MATCH($B238, 'Summary of Results'!$A:$A, 0)), (INDEX('Summary of Results'!J:J, MATCH($B238, 'Summary of Results'!$A:$A, 0))/INDEX('Summary of Results'!$G:$G, MATCH($B238, 'Summary of Results'!$A:$A, 0)) - 1)*100), NA()) = "", "", IFERROR(IF($C$155 = "Absolute", INDEX('Summary of Results'!J:J, MATCH($B238, 'Summary of Results'!$A:$A, 0)), (INDEX('Summary of Results'!J:J, MATCH($B238, 'Summary of Results'!$A:$A, 0))/INDEX('Summary of Results'!$G:$G, MATCH($B238, 'Summary of Results'!$A:$A, 0)) - 1)*100), NA()))</f>
        <v>#N/A</v>
      </c>
      <c r="H238" s="908" t="e">
        <f>IF(IFERROR(IF($C$155 = "Absolute", INDEX('Summary of Results'!K:K, MATCH($B238, 'Summary of Results'!$A:$A, 0)), (INDEX('Summary of Results'!K:K, MATCH($B238, 'Summary of Results'!$A:$A, 0))/INDEX('Summary of Results'!$G:$G, MATCH($B238, 'Summary of Results'!$A:$A, 0)) - 1)*100), NA()) = "", "", IFERROR(IF($C$155 = "Absolute", INDEX('Summary of Results'!K:K, MATCH($B238, 'Summary of Results'!$A:$A, 0)), (INDEX('Summary of Results'!K:K, MATCH($B238, 'Summary of Results'!$A:$A, 0))/INDEX('Summary of Results'!$G:$G, MATCH($B238, 'Summary of Results'!$A:$A, 0)) - 1)*100), NA()))</f>
        <v>#N/A</v>
      </c>
      <c r="I238" s="908" t="e">
        <f>IF(IFERROR(IF($C$155 = "Absolute", INDEX('Summary of Results'!L:L, MATCH($B238, 'Summary of Results'!$A:$A, 0)), (INDEX('Summary of Results'!L:L, MATCH($B238, 'Summary of Results'!$A:$A, 0))/INDEX('Summary of Results'!$G:$G, MATCH($B238, 'Summary of Results'!$A:$A, 0)) - 1)*100), NA()) = "", "", IFERROR(IF($C$155 = "Absolute", INDEX('Summary of Results'!L:L, MATCH($B238, 'Summary of Results'!$A:$A, 0)), (INDEX('Summary of Results'!L:L, MATCH($B238, 'Summary of Results'!$A:$A, 0))/INDEX('Summary of Results'!$G:$G, MATCH($B238, 'Summary of Results'!$A:$A, 0)) - 1)*100), NA()))</f>
        <v>#N/A</v>
      </c>
      <c r="J238" s="908" t="e">
        <f>IF(IFERROR(IF($C$155 = "Absolute", INDEX('Summary of Results'!M:M, MATCH($B238, 'Summary of Results'!$A:$A, 0)), (INDEX('Summary of Results'!M:M, MATCH($B238, 'Summary of Results'!$A:$A, 0))/INDEX('Summary of Results'!$G:$G, MATCH($B238, 'Summary of Results'!$A:$A, 0)) - 1)*100), NA()) = "", "", IFERROR(IF($C$155 = "Absolute", INDEX('Summary of Results'!M:M, MATCH($B238, 'Summary of Results'!$A:$A, 0)), (INDEX('Summary of Results'!M:M, MATCH($B238, 'Summary of Results'!$A:$A, 0))/INDEX('Summary of Results'!$G:$G, MATCH($B238, 'Summary of Results'!$A:$A, 0)) - 1)*100), NA()))</f>
        <v>#N/A</v>
      </c>
    </row>
    <row r="239" spans="1:41" customFormat="1" x14ac:dyDescent="0.2">
      <c r="B239" s="27">
        <v>39</v>
      </c>
      <c r="C239" s="907" t="e">
        <f>IFERROR(INDEX('Summary of Results'!$B:$B, MATCH(B239, 'Summary of Results'!$A:$A, 0)), NA())</f>
        <v>#N/A</v>
      </c>
      <c r="D239" s="908" t="e">
        <f>IF(IFERROR(IF($C$155 = "Absolute", INDEX('Summary of Results'!G:G, MATCH($B239, 'Summary of Results'!$A:$A, 0)), (INDEX('Summary of Results'!G:G, MATCH($B239, 'Summary of Results'!$A:$A, 0))/INDEX('Summary of Results'!$G:$G, MATCH($B239, 'Summary of Results'!$A:$A, 0)) - 1)*100), NA()) = "", "", IFERROR(IF($C$155 = "Absolute", INDEX('Summary of Results'!G:G, MATCH($B239, 'Summary of Results'!$A:$A, 0)), (INDEX('Summary of Results'!G:G, MATCH($B239, 'Summary of Results'!$A:$A, 0))/INDEX('Summary of Results'!$G:$G, MATCH($B239, 'Summary of Results'!$A:$A, 0)) - 1)*100), NA()))</f>
        <v>#N/A</v>
      </c>
      <c r="E239" s="908" t="e">
        <f>IF(IFERROR(IF($C$155 = "Absolute", INDEX('Summary of Results'!H:H, MATCH($B239, 'Summary of Results'!$A:$A, 0)), (INDEX('Summary of Results'!H:H, MATCH($B239, 'Summary of Results'!$A:$A, 0))/INDEX('Summary of Results'!$G:$G, MATCH($B239, 'Summary of Results'!$A:$A, 0)) - 1)*100), NA()) = "", "", IFERROR(IF($C$155 = "Absolute", INDEX('Summary of Results'!H:H, MATCH($B239, 'Summary of Results'!$A:$A, 0)), (INDEX('Summary of Results'!H:H, MATCH($B239, 'Summary of Results'!$A:$A, 0))/INDEX('Summary of Results'!$G:$G, MATCH($B239, 'Summary of Results'!$A:$A, 0)) - 1)*100), NA()))</f>
        <v>#N/A</v>
      </c>
      <c r="F239" s="908" t="e">
        <f>IF(IFERROR(IF($C$155 = "Absolute", INDEX('Summary of Results'!I:I, MATCH($B239, 'Summary of Results'!$A:$A, 0)), (INDEX('Summary of Results'!I:I, MATCH($B239, 'Summary of Results'!$A:$A, 0))/INDEX('Summary of Results'!$G:$G, MATCH($B239, 'Summary of Results'!$A:$A, 0)) - 1)*100), NA()) = "", "", IFERROR(IF($C$155 = "Absolute", INDEX('Summary of Results'!I:I, MATCH($B239, 'Summary of Results'!$A:$A, 0)), (INDEX('Summary of Results'!I:I, MATCH($B239, 'Summary of Results'!$A:$A, 0))/INDEX('Summary of Results'!$G:$G, MATCH($B239, 'Summary of Results'!$A:$A, 0)) - 1)*100), NA()))</f>
        <v>#N/A</v>
      </c>
      <c r="G239" s="908" t="e">
        <f>IF(IFERROR(IF($C$155 = "Absolute", INDEX('Summary of Results'!J:J, MATCH($B239, 'Summary of Results'!$A:$A, 0)), (INDEX('Summary of Results'!J:J, MATCH($B239, 'Summary of Results'!$A:$A, 0))/INDEX('Summary of Results'!$G:$G, MATCH($B239, 'Summary of Results'!$A:$A, 0)) - 1)*100), NA()) = "", "", IFERROR(IF($C$155 = "Absolute", INDEX('Summary of Results'!J:J, MATCH($B239, 'Summary of Results'!$A:$A, 0)), (INDEX('Summary of Results'!J:J, MATCH($B239, 'Summary of Results'!$A:$A, 0))/INDEX('Summary of Results'!$G:$G, MATCH($B239, 'Summary of Results'!$A:$A, 0)) - 1)*100), NA()))</f>
        <v>#N/A</v>
      </c>
      <c r="H239" s="908" t="e">
        <f>IF(IFERROR(IF($C$155 = "Absolute", INDEX('Summary of Results'!K:K, MATCH($B239, 'Summary of Results'!$A:$A, 0)), (INDEX('Summary of Results'!K:K, MATCH($B239, 'Summary of Results'!$A:$A, 0))/INDEX('Summary of Results'!$G:$G, MATCH($B239, 'Summary of Results'!$A:$A, 0)) - 1)*100), NA()) = "", "", IFERROR(IF($C$155 = "Absolute", INDEX('Summary of Results'!K:K, MATCH($B239, 'Summary of Results'!$A:$A, 0)), (INDEX('Summary of Results'!K:K, MATCH($B239, 'Summary of Results'!$A:$A, 0))/INDEX('Summary of Results'!$G:$G, MATCH($B239, 'Summary of Results'!$A:$A, 0)) - 1)*100), NA()))</f>
        <v>#N/A</v>
      </c>
      <c r="I239" s="908" t="e">
        <f>IF(IFERROR(IF($C$155 = "Absolute", INDEX('Summary of Results'!L:L, MATCH($B239, 'Summary of Results'!$A:$A, 0)), (INDEX('Summary of Results'!L:L, MATCH($B239, 'Summary of Results'!$A:$A, 0))/INDEX('Summary of Results'!$G:$G, MATCH($B239, 'Summary of Results'!$A:$A, 0)) - 1)*100), NA()) = "", "", IFERROR(IF($C$155 = "Absolute", INDEX('Summary of Results'!L:L, MATCH($B239, 'Summary of Results'!$A:$A, 0)), (INDEX('Summary of Results'!L:L, MATCH($B239, 'Summary of Results'!$A:$A, 0))/INDEX('Summary of Results'!$G:$G, MATCH($B239, 'Summary of Results'!$A:$A, 0)) - 1)*100), NA()))</f>
        <v>#N/A</v>
      </c>
      <c r="J239" s="908" t="e">
        <f>IF(IFERROR(IF($C$155 = "Absolute", INDEX('Summary of Results'!M:M, MATCH($B239, 'Summary of Results'!$A:$A, 0)), (INDEX('Summary of Results'!M:M, MATCH($B239, 'Summary of Results'!$A:$A, 0))/INDEX('Summary of Results'!$G:$G, MATCH($B239, 'Summary of Results'!$A:$A, 0)) - 1)*100), NA()) = "", "", IFERROR(IF($C$155 = "Absolute", INDEX('Summary of Results'!M:M, MATCH($B239, 'Summary of Results'!$A:$A, 0)), (INDEX('Summary of Results'!M:M, MATCH($B239, 'Summary of Results'!$A:$A, 0))/INDEX('Summary of Results'!$G:$G, MATCH($B239, 'Summary of Results'!$A:$A, 0)) - 1)*100), NA()))</f>
        <v>#N/A</v>
      </c>
    </row>
    <row r="240" spans="1:41" customFormat="1" x14ac:dyDescent="0.2">
      <c r="B240" s="27">
        <v>40</v>
      </c>
      <c r="C240" s="907" t="e">
        <f>IFERROR(INDEX('Summary of Results'!$B:$B, MATCH(B240, 'Summary of Results'!$A:$A, 0)), NA())</f>
        <v>#N/A</v>
      </c>
      <c r="D240" s="908" t="e">
        <f>IF(IFERROR(IF($C$155 = "Absolute", INDEX('Summary of Results'!G:G, MATCH($B240, 'Summary of Results'!$A:$A, 0)), (INDEX('Summary of Results'!G:G, MATCH($B240, 'Summary of Results'!$A:$A, 0))/INDEX('Summary of Results'!$G:$G, MATCH($B240, 'Summary of Results'!$A:$A, 0)) - 1)*100), NA()) = "", "", IFERROR(IF($C$155 = "Absolute", INDEX('Summary of Results'!G:G, MATCH($B240, 'Summary of Results'!$A:$A, 0)), (INDEX('Summary of Results'!G:G, MATCH($B240, 'Summary of Results'!$A:$A, 0))/INDEX('Summary of Results'!$G:$G, MATCH($B240, 'Summary of Results'!$A:$A, 0)) - 1)*100), NA()))</f>
        <v>#N/A</v>
      </c>
      <c r="E240" s="908" t="e">
        <f>IF(IFERROR(IF($C$155 = "Absolute", INDEX('Summary of Results'!H:H, MATCH($B240, 'Summary of Results'!$A:$A, 0)), (INDEX('Summary of Results'!H:H, MATCH($B240, 'Summary of Results'!$A:$A, 0))/INDEX('Summary of Results'!$G:$G, MATCH($B240, 'Summary of Results'!$A:$A, 0)) - 1)*100), NA()) = "", "", IFERROR(IF($C$155 = "Absolute", INDEX('Summary of Results'!H:H, MATCH($B240, 'Summary of Results'!$A:$A, 0)), (INDEX('Summary of Results'!H:H, MATCH($B240, 'Summary of Results'!$A:$A, 0))/INDEX('Summary of Results'!$G:$G, MATCH($B240, 'Summary of Results'!$A:$A, 0)) - 1)*100), NA()))</f>
        <v>#N/A</v>
      </c>
      <c r="F240" s="908" t="e">
        <f>IF(IFERROR(IF($C$155 = "Absolute", INDEX('Summary of Results'!I:I, MATCH($B240, 'Summary of Results'!$A:$A, 0)), (INDEX('Summary of Results'!I:I, MATCH($B240, 'Summary of Results'!$A:$A, 0))/INDEX('Summary of Results'!$G:$G, MATCH($B240, 'Summary of Results'!$A:$A, 0)) - 1)*100), NA()) = "", "", IFERROR(IF($C$155 = "Absolute", INDEX('Summary of Results'!I:I, MATCH($B240, 'Summary of Results'!$A:$A, 0)), (INDEX('Summary of Results'!I:I, MATCH($B240, 'Summary of Results'!$A:$A, 0))/INDEX('Summary of Results'!$G:$G, MATCH($B240, 'Summary of Results'!$A:$A, 0)) - 1)*100), NA()))</f>
        <v>#N/A</v>
      </c>
      <c r="G240" s="908" t="e">
        <f>IF(IFERROR(IF($C$155 = "Absolute", INDEX('Summary of Results'!J:J, MATCH($B240, 'Summary of Results'!$A:$A, 0)), (INDEX('Summary of Results'!J:J, MATCH($B240, 'Summary of Results'!$A:$A, 0))/INDEX('Summary of Results'!$G:$G, MATCH($B240, 'Summary of Results'!$A:$A, 0)) - 1)*100), NA()) = "", "", IFERROR(IF($C$155 = "Absolute", INDEX('Summary of Results'!J:J, MATCH($B240, 'Summary of Results'!$A:$A, 0)), (INDEX('Summary of Results'!J:J, MATCH($B240, 'Summary of Results'!$A:$A, 0))/INDEX('Summary of Results'!$G:$G, MATCH($B240, 'Summary of Results'!$A:$A, 0)) - 1)*100), NA()))</f>
        <v>#N/A</v>
      </c>
      <c r="H240" s="908" t="e">
        <f>IF(IFERROR(IF($C$155 = "Absolute", INDEX('Summary of Results'!K:K, MATCH($B240, 'Summary of Results'!$A:$A, 0)), (INDEX('Summary of Results'!K:K, MATCH($B240, 'Summary of Results'!$A:$A, 0))/INDEX('Summary of Results'!$G:$G, MATCH($B240, 'Summary of Results'!$A:$A, 0)) - 1)*100), NA()) = "", "", IFERROR(IF($C$155 = "Absolute", INDEX('Summary of Results'!K:K, MATCH($B240, 'Summary of Results'!$A:$A, 0)), (INDEX('Summary of Results'!K:K, MATCH($B240, 'Summary of Results'!$A:$A, 0))/INDEX('Summary of Results'!$G:$G, MATCH($B240, 'Summary of Results'!$A:$A, 0)) - 1)*100), NA()))</f>
        <v>#N/A</v>
      </c>
      <c r="I240" s="908" t="e">
        <f>IF(IFERROR(IF($C$155 = "Absolute", INDEX('Summary of Results'!L:L, MATCH($B240, 'Summary of Results'!$A:$A, 0)), (INDEX('Summary of Results'!L:L, MATCH($B240, 'Summary of Results'!$A:$A, 0))/INDEX('Summary of Results'!$G:$G, MATCH($B240, 'Summary of Results'!$A:$A, 0)) - 1)*100), NA()) = "", "", IFERROR(IF($C$155 = "Absolute", INDEX('Summary of Results'!L:L, MATCH($B240, 'Summary of Results'!$A:$A, 0)), (INDEX('Summary of Results'!L:L, MATCH($B240, 'Summary of Results'!$A:$A, 0))/INDEX('Summary of Results'!$G:$G, MATCH($B240, 'Summary of Results'!$A:$A, 0)) - 1)*100), NA()))</f>
        <v>#N/A</v>
      </c>
      <c r="J240" s="908" t="e">
        <f>IF(IFERROR(IF($C$155 = "Absolute", INDEX('Summary of Results'!M:M, MATCH($B240, 'Summary of Results'!$A:$A, 0)), (INDEX('Summary of Results'!M:M, MATCH($B240, 'Summary of Results'!$A:$A, 0))/INDEX('Summary of Results'!$G:$G, MATCH($B240, 'Summary of Results'!$A:$A, 0)) - 1)*100), NA()) = "", "", IFERROR(IF($C$155 = "Absolute", INDEX('Summary of Results'!M:M, MATCH($B240, 'Summary of Results'!$A:$A, 0)), (INDEX('Summary of Results'!M:M, MATCH($B240, 'Summary of Results'!$A:$A, 0))/INDEX('Summary of Results'!$G:$G, MATCH($B240, 'Summary of Results'!$A:$A, 0)) - 1)*100), NA()))</f>
        <v>#N/A</v>
      </c>
    </row>
    <row r="241" spans="2:10" customFormat="1" x14ac:dyDescent="0.2">
      <c r="B241" s="27">
        <v>41</v>
      </c>
      <c r="C241" s="907" t="e">
        <f>IFERROR(INDEX('Summary of Results'!$B:$B, MATCH(B241, 'Summary of Results'!$A:$A, 0)), NA())</f>
        <v>#N/A</v>
      </c>
      <c r="D241" s="908" t="e">
        <f>IF(IFERROR(IF($C$155 = "Absolute", INDEX('Summary of Results'!G:G, MATCH($B241, 'Summary of Results'!$A:$A, 0)), (INDEX('Summary of Results'!G:G, MATCH($B241, 'Summary of Results'!$A:$A, 0))/INDEX('Summary of Results'!$G:$G, MATCH($B241, 'Summary of Results'!$A:$A, 0)) - 1)*100), NA()) = "", "", IFERROR(IF($C$155 = "Absolute", INDEX('Summary of Results'!G:G, MATCH($B241, 'Summary of Results'!$A:$A, 0)), (INDEX('Summary of Results'!G:G, MATCH($B241, 'Summary of Results'!$A:$A, 0))/INDEX('Summary of Results'!$G:$G, MATCH($B241, 'Summary of Results'!$A:$A, 0)) - 1)*100), NA()))</f>
        <v>#N/A</v>
      </c>
      <c r="E241" s="908" t="e">
        <f>IF(IFERROR(IF($C$155 = "Absolute", INDEX('Summary of Results'!H:H, MATCH($B241, 'Summary of Results'!$A:$A, 0)), (INDEX('Summary of Results'!H:H, MATCH($B241, 'Summary of Results'!$A:$A, 0))/INDEX('Summary of Results'!$G:$G, MATCH($B241, 'Summary of Results'!$A:$A, 0)) - 1)*100), NA()) = "", "", IFERROR(IF($C$155 = "Absolute", INDEX('Summary of Results'!H:H, MATCH($B241, 'Summary of Results'!$A:$A, 0)), (INDEX('Summary of Results'!H:H, MATCH($B241, 'Summary of Results'!$A:$A, 0))/INDEX('Summary of Results'!$G:$G, MATCH($B241, 'Summary of Results'!$A:$A, 0)) - 1)*100), NA()))</f>
        <v>#N/A</v>
      </c>
      <c r="F241" s="908" t="e">
        <f>IF(IFERROR(IF($C$155 = "Absolute", INDEX('Summary of Results'!I:I, MATCH($B241, 'Summary of Results'!$A:$A, 0)), (INDEX('Summary of Results'!I:I, MATCH($B241, 'Summary of Results'!$A:$A, 0))/INDEX('Summary of Results'!$G:$G, MATCH($B241, 'Summary of Results'!$A:$A, 0)) - 1)*100), NA()) = "", "", IFERROR(IF($C$155 = "Absolute", INDEX('Summary of Results'!I:I, MATCH($B241, 'Summary of Results'!$A:$A, 0)), (INDEX('Summary of Results'!I:I, MATCH($B241, 'Summary of Results'!$A:$A, 0))/INDEX('Summary of Results'!$G:$G, MATCH($B241, 'Summary of Results'!$A:$A, 0)) - 1)*100), NA()))</f>
        <v>#N/A</v>
      </c>
      <c r="G241" s="908" t="e">
        <f>IF(IFERROR(IF($C$155 = "Absolute", INDEX('Summary of Results'!J:J, MATCH($B241, 'Summary of Results'!$A:$A, 0)), (INDEX('Summary of Results'!J:J, MATCH($B241, 'Summary of Results'!$A:$A, 0))/INDEX('Summary of Results'!$G:$G, MATCH($B241, 'Summary of Results'!$A:$A, 0)) - 1)*100), NA()) = "", "", IFERROR(IF($C$155 = "Absolute", INDEX('Summary of Results'!J:J, MATCH($B241, 'Summary of Results'!$A:$A, 0)), (INDEX('Summary of Results'!J:J, MATCH($B241, 'Summary of Results'!$A:$A, 0))/INDEX('Summary of Results'!$G:$G, MATCH($B241, 'Summary of Results'!$A:$A, 0)) - 1)*100), NA()))</f>
        <v>#N/A</v>
      </c>
      <c r="H241" s="908" t="e">
        <f>IF(IFERROR(IF($C$155 = "Absolute", INDEX('Summary of Results'!K:K, MATCH($B241, 'Summary of Results'!$A:$A, 0)), (INDEX('Summary of Results'!K:K, MATCH($B241, 'Summary of Results'!$A:$A, 0))/INDEX('Summary of Results'!$G:$G, MATCH($B241, 'Summary of Results'!$A:$A, 0)) - 1)*100), NA()) = "", "", IFERROR(IF($C$155 = "Absolute", INDEX('Summary of Results'!K:K, MATCH($B241, 'Summary of Results'!$A:$A, 0)), (INDEX('Summary of Results'!K:K, MATCH($B241, 'Summary of Results'!$A:$A, 0))/INDEX('Summary of Results'!$G:$G, MATCH($B241, 'Summary of Results'!$A:$A, 0)) - 1)*100), NA()))</f>
        <v>#N/A</v>
      </c>
      <c r="I241" s="908" t="e">
        <f>IF(IFERROR(IF($C$155 = "Absolute", INDEX('Summary of Results'!L:L, MATCH($B241, 'Summary of Results'!$A:$A, 0)), (INDEX('Summary of Results'!L:L, MATCH($B241, 'Summary of Results'!$A:$A, 0))/INDEX('Summary of Results'!$G:$G, MATCH($B241, 'Summary of Results'!$A:$A, 0)) - 1)*100), NA()) = "", "", IFERROR(IF($C$155 = "Absolute", INDEX('Summary of Results'!L:L, MATCH($B241, 'Summary of Results'!$A:$A, 0)), (INDEX('Summary of Results'!L:L, MATCH($B241, 'Summary of Results'!$A:$A, 0))/INDEX('Summary of Results'!$G:$G, MATCH($B241, 'Summary of Results'!$A:$A, 0)) - 1)*100), NA()))</f>
        <v>#N/A</v>
      </c>
      <c r="J241" s="908" t="e">
        <f>IF(IFERROR(IF($C$155 = "Absolute", INDEX('Summary of Results'!M:M, MATCH($B241, 'Summary of Results'!$A:$A, 0)), (INDEX('Summary of Results'!M:M, MATCH($B241, 'Summary of Results'!$A:$A, 0))/INDEX('Summary of Results'!$G:$G, MATCH($B241, 'Summary of Results'!$A:$A, 0)) - 1)*100), NA()) = "", "", IFERROR(IF($C$155 = "Absolute", INDEX('Summary of Results'!M:M, MATCH($B241, 'Summary of Results'!$A:$A, 0)), (INDEX('Summary of Results'!M:M, MATCH($B241, 'Summary of Results'!$A:$A, 0))/INDEX('Summary of Results'!$G:$G, MATCH($B241, 'Summary of Results'!$A:$A, 0)) - 1)*100), NA()))</f>
        <v>#N/A</v>
      </c>
    </row>
    <row r="242" spans="2:10" customFormat="1" x14ac:dyDescent="0.2">
      <c r="B242" s="27">
        <v>42</v>
      </c>
      <c r="C242" s="907" t="e">
        <f>IFERROR(INDEX('Summary of Results'!$B:$B, MATCH(B242, 'Summary of Results'!$A:$A, 0)), NA())</f>
        <v>#N/A</v>
      </c>
      <c r="D242" s="908" t="e">
        <f>IF(IFERROR(IF($C$155 = "Absolute", INDEX('Summary of Results'!G:G, MATCH($B242, 'Summary of Results'!$A:$A, 0)), (INDEX('Summary of Results'!G:G, MATCH($B242, 'Summary of Results'!$A:$A, 0))/INDEX('Summary of Results'!$G:$G, MATCH($B242, 'Summary of Results'!$A:$A, 0)) - 1)*100), NA()) = "", "", IFERROR(IF($C$155 = "Absolute", INDEX('Summary of Results'!G:G, MATCH($B242, 'Summary of Results'!$A:$A, 0)), (INDEX('Summary of Results'!G:G, MATCH($B242, 'Summary of Results'!$A:$A, 0))/INDEX('Summary of Results'!$G:$G, MATCH($B242, 'Summary of Results'!$A:$A, 0)) - 1)*100), NA()))</f>
        <v>#N/A</v>
      </c>
      <c r="E242" s="908" t="e">
        <f>IF(IFERROR(IF($C$155 = "Absolute", INDEX('Summary of Results'!H:H, MATCH($B242, 'Summary of Results'!$A:$A, 0)), (INDEX('Summary of Results'!H:H, MATCH($B242, 'Summary of Results'!$A:$A, 0))/INDEX('Summary of Results'!$G:$G, MATCH($B242, 'Summary of Results'!$A:$A, 0)) - 1)*100), NA()) = "", "", IFERROR(IF($C$155 = "Absolute", INDEX('Summary of Results'!H:H, MATCH($B242, 'Summary of Results'!$A:$A, 0)), (INDEX('Summary of Results'!H:H, MATCH($B242, 'Summary of Results'!$A:$A, 0))/INDEX('Summary of Results'!$G:$G, MATCH($B242, 'Summary of Results'!$A:$A, 0)) - 1)*100), NA()))</f>
        <v>#N/A</v>
      </c>
      <c r="F242" s="908" t="e">
        <f>IF(IFERROR(IF($C$155 = "Absolute", INDEX('Summary of Results'!I:I, MATCH($B242, 'Summary of Results'!$A:$A, 0)), (INDEX('Summary of Results'!I:I, MATCH($B242, 'Summary of Results'!$A:$A, 0))/INDEX('Summary of Results'!$G:$G, MATCH($B242, 'Summary of Results'!$A:$A, 0)) - 1)*100), NA()) = "", "", IFERROR(IF($C$155 = "Absolute", INDEX('Summary of Results'!I:I, MATCH($B242, 'Summary of Results'!$A:$A, 0)), (INDEX('Summary of Results'!I:I, MATCH($B242, 'Summary of Results'!$A:$A, 0))/INDEX('Summary of Results'!$G:$G, MATCH($B242, 'Summary of Results'!$A:$A, 0)) - 1)*100), NA()))</f>
        <v>#N/A</v>
      </c>
      <c r="G242" s="908" t="e">
        <f>IF(IFERROR(IF($C$155 = "Absolute", INDEX('Summary of Results'!J:J, MATCH($B242, 'Summary of Results'!$A:$A, 0)), (INDEX('Summary of Results'!J:J, MATCH($B242, 'Summary of Results'!$A:$A, 0))/INDEX('Summary of Results'!$G:$G, MATCH($B242, 'Summary of Results'!$A:$A, 0)) - 1)*100), NA()) = "", "", IFERROR(IF($C$155 = "Absolute", INDEX('Summary of Results'!J:J, MATCH($B242, 'Summary of Results'!$A:$A, 0)), (INDEX('Summary of Results'!J:J, MATCH($B242, 'Summary of Results'!$A:$A, 0))/INDEX('Summary of Results'!$G:$G, MATCH($B242, 'Summary of Results'!$A:$A, 0)) - 1)*100), NA()))</f>
        <v>#N/A</v>
      </c>
      <c r="H242" s="908" t="e">
        <f>IF(IFERROR(IF($C$155 = "Absolute", INDEX('Summary of Results'!K:K, MATCH($B242, 'Summary of Results'!$A:$A, 0)), (INDEX('Summary of Results'!K:K, MATCH($B242, 'Summary of Results'!$A:$A, 0))/INDEX('Summary of Results'!$G:$G, MATCH($B242, 'Summary of Results'!$A:$A, 0)) - 1)*100), NA()) = "", "", IFERROR(IF($C$155 = "Absolute", INDEX('Summary of Results'!K:K, MATCH($B242, 'Summary of Results'!$A:$A, 0)), (INDEX('Summary of Results'!K:K, MATCH($B242, 'Summary of Results'!$A:$A, 0))/INDEX('Summary of Results'!$G:$G, MATCH($B242, 'Summary of Results'!$A:$A, 0)) - 1)*100), NA()))</f>
        <v>#N/A</v>
      </c>
      <c r="I242" s="908" t="e">
        <f>IF(IFERROR(IF($C$155 = "Absolute", INDEX('Summary of Results'!L:L, MATCH($B242, 'Summary of Results'!$A:$A, 0)), (INDEX('Summary of Results'!L:L, MATCH($B242, 'Summary of Results'!$A:$A, 0))/INDEX('Summary of Results'!$G:$G, MATCH($B242, 'Summary of Results'!$A:$A, 0)) - 1)*100), NA()) = "", "", IFERROR(IF($C$155 = "Absolute", INDEX('Summary of Results'!L:L, MATCH($B242, 'Summary of Results'!$A:$A, 0)), (INDEX('Summary of Results'!L:L, MATCH($B242, 'Summary of Results'!$A:$A, 0))/INDEX('Summary of Results'!$G:$G, MATCH($B242, 'Summary of Results'!$A:$A, 0)) - 1)*100), NA()))</f>
        <v>#N/A</v>
      </c>
      <c r="J242" s="908" t="e">
        <f>IF(IFERROR(IF($C$155 = "Absolute", INDEX('Summary of Results'!M:M, MATCH($B242, 'Summary of Results'!$A:$A, 0)), (INDEX('Summary of Results'!M:M, MATCH($B242, 'Summary of Results'!$A:$A, 0))/INDEX('Summary of Results'!$G:$G, MATCH($B242, 'Summary of Results'!$A:$A, 0)) - 1)*100), NA()) = "", "", IFERROR(IF($C$155 = "Absolute", INDEX('Summary of Results'!M:M, MATCH($B242, 'Summary of Results'!$A:$A, 0)), (INDEX('Summary of Results'!M:M, MATCH($B242, 'Summary of Results'!$A:$A, 0))/INDEX('Summary of Results'!$G:$G, MATCH($B242, 'Summary of Results'!$A:$A, 0)) - 1)*100), NA()))</f>
        <v>#N/A</v>
      </c>
    </row>
    <row r="243" spans="2:10" customFormat="1" x14ac:dyDescent="0.2">
      <c r="B243" s="27">
        <v>43</v>
      </c>
      <c r="C243" s="907" t="e">
        <f>IFERROR(INDEX('Summary of Results'!$B:$B, MATCH(B243, 'Summary of Results'!$A:$A, 0)), NA())</f>
        <v>#N/A</v>
      </c>
      <c r="D243" s="908" t="e">
        <f>IF(IFERROR(IF($C$155 = "Absolute", INDEX('Summary of Results'!G:G, MATCH($B243, 'Summary of Results'!$A:$A, 0)), (INDEX('Summary of Results'!G:G, MATCH($B243, 'Summary of Results'!$A:$A, 0))/INDEX('Summary of Results'!$G:$G, MATCH($B243, 'Summary of Results'!$A:$A, 0)) - 1)*100), NA()) = "", "", IFERROR(IF($C$155 = "Absolute", INDEX('Summary of Results'!G:G, MATCH($B243, 'Summary of Results'!$A:$A, 0)), (INDEX('Summary of Results'!G:G, MATCH($B243, 'Summary of Results'!$A:$A, 0))/INDEX('Summary of Results'!$G:$G, MATCH($B243, 'Summary of Results'!$A:$A, 0)) - 1)*100), NA()))</f>
        <v>#N/A</v>
      </c>
      <c r="E243" s="908" t="e">
        <f>IF(IFERROR(IF($C$155 = "Absolute", INDEX('Summary of Results'!H:H, MATCH($B243, 'Summary of Results'!$A:$A, 0)), (INDEX('Summary of Results'!H:H, MATCH($B243, 'Summary of Results'!$A:$A, 0))/INDEX('Summary of Results'!$G:$G, MATCH($B243, 'Summary of Results'!$A:$A, 0)) - 1)*100), NA()) = "", "", IFERROR(IF($C$155 = "Absolute", INDEX('Summary of Results'!H:H, MATCH($B243, 'Summary of Results'!$A:$A, 0)), (INDEX('Summary of Results'!H:H, MATCH($B243, 'Summary of Results'!$A:$A, 0))/INDEX('Summary of Results'!$G:$G, MATCH($B243, 'Summary of Results'!$A:$A, 0)) - 1)*100), NA()))</f>
        <v>#N/A</v>
      </c>
      <c r="F243" s="908" t="e">
        <f>IF(IFERROR(IF($C$155 = "Absolute", INDEX('Summary of Results'!I:I, MATCH($B243, 'Summary of Results'!$A:$A, 0)), (INDEX('Summary of Results'!I:I, MATCH($B243, 'Summary of Results'!$A:$A, 0))/INDEX('Summary of Results'!$G:$G, MATCH($B243, 'Summary of Results'!$A:$A, 0)) - 1)*100), NA()) = "", "", IFERROR(IF($C$155 = "Absolute", INDEX('Summary of Results'!I:I, MATCH($B243, 'Summary of Results'!$A:$A, 0)), (INDEX('Summary of Results'!I:I, MATCH($B243, 'Summary of Results'!$A:$A, 0))/INDEX('Summary of Results'!$G:$G, MATCH($B243, 'Summary of Results'!$A:$A, 0)) - 1)*100), NA()))</f>
        <v>#N/A</v>
      </c>
      <c r="G243" s="908" t="e">
        <f>IF(IFERROR(IF($C$155 = "Absolute", INDEX('Summary of Results'!J:J, MATCH($B243, 'Summary of Results'!$A:$A, 0)), (INDEX('Summary of Results'!J:J, MATCH($B243, 'Summary of Results'!$A:$A, 0))/INDEX('Summary of Results'!$G:$G, MATCH($B243, 'Summary of Results'!$A:$A, 0)) - 1)*100), NA()) = "", "", IFERROR(IF($C$155 = "Absolute", INDEX('Summary of Results'!J:J, MATCH($B243, 'Summary of Results'!$A:$A, 0)), (INDEX('Summary of Results'!J:J, MATCH($B243, 'Summary of Results'!$A:$A, 0))/INDEX('Summary of Results'!$G:$G, MATCH($B243, 'Summary of Results'!$A:$A, 0)) - 1)*100), NA()))</f>
        <v>#N/A</v>
      </c>
      <c r="H243" s="908" t="e">
        <f>IF(IFERROR(IF($C$155 = "Absolute", INDEX('Summary of Results'!K:K, MATCH($B243, 'Summary of Results'!$A:$A, 0)), (INDEX('Summary of Results'!K:K, MATCH($B243, 'Summary of Results'!$A:$A, 0))/INDEX('Summary of Results'!$G:$G, MATCH($B243, 'Summary of Results'!$A:$A, 0)) - 1)*100), NA()) = "", "", IFERROR(IF($C$155 = "Absolute", INDEX('Summary of Results'!K:K, MATCH($B243, 'Summary of Results'!$A:$A, 0)), (INDEX('Summary of Results'!K:K, MATCH($B243, 'Summary of Results'!$A:$A, 0))/INDEX('Summary of Results'!$G:$G, MATCH($B243, 'Summary of Results'!$A:$A, 0)) - 1)*100), NA()))</f>
        <v>#N/A</v>
      </c>
      <c r="I243" s="908" t="e">
        <f>IF(IFERROR(IF($C$155 = "Absolute", INDEX('Summary of Results'!L:L, MATCH($B243, 'Summary of Results'!$A:$A, 0)), (INDEX('Summary of Results'!L:L, MATCH($B243, 'Summary of Results'!$A:$A, 0))/INDEX('Summary of Results'!$G:$G, MATCH($B243, 'Summary of Results'!$A:$A, 0)) - 1)*100), NA()) = "", "", IFERROR(IF($C$155 = "Absolute", INDEX('Summary of Results'!L:L, MATCH($B243, 'Summary of Results'!$A:$A, 0)), (INDEX('Summary of Results'!L:L, MATCH($B243, 'Summary of Results'!$A:$A, 0))/INDEX('Summary of Results'!$G:$G, MATCH($B243, 'Summary of Results'!$A:$A, 0)) - 1)*100), NA()))</f>
        <v>#N/A</v>
      </c>
      <c r="J243" s="908" t="e">
        <f>IF(IFERROR(IF($C$155 = "Absolute", INDEX('Summary of Results'!M:M, MATCH($B243, 'Summary of Results'!$A:$A, 0)), (INDEX('Summary of Results'!M:M, MATCH($B243, 'Summary of Results'!$A:$A, 0))/INDEX('Summary of Results'!$G:$G, MATCH($B243, 'Summary of Results'!$A:$A, 0)) - 1)*100), NA()) = "", "", IFERROR(IF($C$155 = "Absolute", INDEX('Summary of Results'!M:M, MATCH($B243, 'Summary of Results'!$A:$A, 0)), (INDEX('Summary of Results'!M:M, MATCH($B243, 'Summary of Results'!$A:$A, 0))/INDEX('Summary of Results'!$G:$G, MATCH($B243, 'Summary of Results'!$A:$A, 0)) - 1)*100), NA()))</f>
        <v>#N/A</v>
      </c>
    </row>
    <row r="244" spans="2:10" customFormat="1" x14ac:dyDescent="0.2">
      <c r="B244" s="27">
        <v>44</v>
      </c>
      <c r="C244" s="907" t="e">
        <f>IFERROR(INDEX('Summary of Results'!$B:$B, MATCH(B244, 'Summary of Results'!$A:$A, 0)), NA())</f>
        <v>#N/A</v>
      </c>
      <c r="D244" s="908" t="e">
        <f>IF(IFERROR(IF($C$155 = "Absolute", INDEX('Summary of Results'!G:G, MATCH($B244, 'Summary of Results'!$A:$A, 0)), (INDEX('Summary of Results'!G:G, MATCH($B244, 'Summary of Results'!$A:$A, 0))/INDEX('Summary of Results'!$G:$G, MATCH($B244, 'Summary of Results'!$A:$A, 0)) - 1)*100), NA()) = "", "", IFERROR(IF($C$155 = "Absolute", INDEX('Summary of Results'!G:G, MATCH($B244, 'Summary of Results'!$A:$A, 0)), (INDEX('Summary of Results'!G:G, MATCH($B244, 'Summary of Results'!$A:$A, 0))/INDEX('Summary of Results'!$G:$G, MATCH($B244, 'Summary of Results'!$A:$A, 0)) - 1)*100), NA()))</f>
        <v>#N/A</v>
      </c>
      <c r="E244" s="908" t="e">
        <f>IF(IFERROR(IF($C$155 = "Absolute", INDEX('Summary of Results'!H:H, MATCH($B244, 'Summary of Results'!$A:$A, 0)), (INDEX('Summary of Results'!H:H, MATCH($B244, 'Summary of Results'!$A:$A, 0))/INDEX('Summary of Results'!$G:$G, MATCH($B244, 'Summary of Results'!$A:$A, 0)) - 1)*100), NA()) = "", "", IFERROR(IF($C$155 = "Absolute", INDEX('Summary of Results'!H:H, MATCH($B244, 'Summary of Results'!$A:$A, 0)), (INDEX('Summary of Results'!H:H, MATCH($B244, 'Summary of Results'!$A:$A, 0))/INDEX('Summary of Results'!$G:$G, MATCH($B244, 'Summary of Results'!$A:$A, 0)) - 1)*100), NA()))</f>
        <v>#N/A</v>
      </c>
      <c r="F244" s="908" t="e">
        <f>IF(IFERROR(IF($C$155 = "Absolute", INDEX('Summary of Results'!I:I, MATCH($B244, 'Summary of Results'!$A:$A, 0)), (INDEX('Summary of Results'!I:I, MATCH($B244, 'Summary of Results'!$A:$A, 0))/INDEX('Summary of Results'!$G:$G, MATCH($B244, 'Summary of Results'!$A:$A, 0)) - 1)*100), NA()) = "", "", IFERROR(IF($C$155 = "Absolute", INDEX('Summary of Results'!I:I, MATCH($B244, 'Summary of Results'!$A:$A, 0)), (INDEX('Summary of Results'!I:I, MATCH($B244, 'Summary of Results'!$A:$A, 0))/INDEX('Summary of Results'!$G:$G, MATCH($B244, 'Summary of Results'!$A:$A, 0)) - 1)*100), NA()))</f>
        <v>#N/A</v>
      </c>
      <c r="G244" s="908" t="e">
        <f>IF(IFERROR(IF($C$155 = "Absolute", INDEX('Summary of Results'!J:J, MATCH($B244, 'Summary of Results'!$A:$A, 0)), (INDEX('Summary of Results'!J:J, MATCH($B244, 'Summary of Results'!$A:$A, 0))/INDEX('Summary of Results'!$G:$G, MATCH($B244, 'Summary of Results'!$A:$A, 0)) - 1)*100), NA()) = "", "", IFERROR(IF($C$155 = "Absolute", INDEX('Summary of Results'!J:J, MATCH($B244, 'Summary of Results'!$A:$A, 0)), (INDEX('Summary of Results'!J:J, MATCH($B244, 'Summary of Results'!$A:$A, 0))/INDEX('Summary of Results'!$G:$G, MATCH($B244, 'Summary of Results'!$A:$A, 0)) - 1)*100), NA()))</f>
        <v>#N/A</v>
      </c>
      <c r="H244" s="908" t="e">
        <f>IF(IFERROR(IF($C$155 = "Absolute", INDEX('Summary of Results'!K:K, MATCH($B244, 'Summary of Results'!$A:$A, 0)), (INDEX('Summary of Results'!K:K, MATCH($B244, 'Summary of Results'!$A:$A, 0))/INDEX('Summary of Results'!$G:$G, MATCH($B244, 'Summary of Results'!$A:$A, 0)) - 1)*100), NA()) = "", "", IFERROR(IF($C$155 = "Absolute", INDEX('Summary of Results'!K:K, MATCH($B244, 'Summary of Results'!$A:$A, 0)), (INDEX('Summary of Results'!K:K, MATCH($B244, 'Summary of Results'!$A:$A, 0))/INDEX('Summary of Results'!$G:$G, MATCH($B244, 'Summary of Results'!$A:$A, 0)) - 1)*100), NA()))</f>
        <v>#N/A</v>
      </c>
      <c r="I244" s="908" t="e">
        <f>IF(IFERROR(IF($C$155 = "Absolute", INDEX('Summary of Results'!L:L, MATCH($B244, 'Summary of Results'!$A:$A, 0)), (INDEX('Summary of Results'!L:L, MATCH($B244, 'Summary of Results'!$A:$A, 0))/INDEX('Summary of Results'!$G:$G, MATCH($B244, 'Summary of Results'!$A:$A, 0)) - 1)*100), NA()) = "", "", IFERROR(IF($C$155 = "Absolute", INDEX('Summary of Results'!L:L, MATCH($B244, 'Summary of Results'!$A:$A, 0)), (INDEX('Summary of Results'!L:L, MATCH($B244, 'Summary of Results'!$A:$A, 0))/INDEX('Summary of Results'!$G:$G, MATCH($B244, 'Summary of Results'!$A:$A, 0)) - 1)*100), NA()))</f>
        <v>#N/A</v>
      </c>
      <c r="J244" s="908" t="e">
        <f>IF(IFERROR(IF($C$155 = "Absolute", INDEX('Summary of Results'!M:M, MATCH($B244, 'Summary of Results'!$A:$A, 0)), (INDEX('Summary of Results'!M:M, MATCH($B244, 'Summary of Results'!$A:$A, 0))/INDEX('Summary of Results'!$G:$G, MATCH($B244, 'Summary of Results'!$A:$A, 0)) - 1)*100), NA()) = "", "", IFERROR(IF($C$155 = "Absolute", INDEX('Summary of Results'!M:M, MATCH($B244, 'Summary of Results'!$A:$A, 0)), (INDEX('Summary of Results'!M:M, MATCH($B244, 'Summary of Results'!$A:$A, 0))/INDEX('Summary of Results'!$G:$G, MATCH($B244, 'Summary of Results'!$A:$A, 0)) - 1)*100), NA()))</f>
        <v>#N/A</v>
      </c>
    </row>
    <row r="245" spans="2:10" customFormat="1" x14ac:dyDescent="0.2">
      <c r="B245" s="27">
        <v>45</v>
      </c>
      <c r="C245" s="907" t="e">
        <f>IFERROR(INDEX('Summary of Results'!$B:$B, MATCH(B245, 'Summary of Results'!$A:$A, 0)), NA())</f>
        <v>#N/A</v>
      </c>
      <c r="D245" s="908" t="e">
        <f>IF(IFERROR(IF($C$155 = "Absolute", INDEX('Summary of Results'!G:G, MATCH($B245, 'Summary of Results'!$A:$A, 0)), (INDEX('Summary of Results'!G:G, MATCH($B245, 'Summary of Results'!$A:$A, 0))/INDEX('Summary of Results'!$G:$G, MATCH($B245, 'Summary of Results'!$A:$A, 0)) - 1)*100), NA()) = "", "", IFERROR(IF($C$155 = "Absolute", INDEX('Summary of Results'!G:G, MATCH($B245, 'Summary of Results'!$A:$A, 0)), (INDEX('Summary of Results'!G:G, MATCH($B245, 'Summary of Results'!$A:$A, 0))/INDEX('Summary of Results'!$G:$G, MATCH($B245, 'Summary of Results'!$A:$A, 0)) - 1)*100), NA()))</f>
        <v>#N/A</v>
      </c>
      <c r="E245" s="908" t="e">
        <f>IF(IFERROR(IF($C$155 = "Absolute", INDEX('Summary of Results'!H:H, MATCH($B245, 'Summary of Results'!$A:$A, 0)), (INDEX('Summary of Results'!H:H, MATCH($B245, 'Summary of Results'!$A:$A, 0))/INDEX('Summary of Results'!$G:$G, MATCH($B245, 'Summary of Results'!$A:$A, 0)) - 1)*100), NA()) = "", "", IFERROR(IF($C$155 = "Absolute", INDEX('Summary of Results'!H:H, MATCH($B245, 'Summary of Results'!$A:$A, 0)), (INDEX('Summary of Results'!H:H, MATCH($B245, 'Summary of Results'!$A:$A, 0))/INDEX('Summary of Results'!$G:$G, MATCH($B245, 'Summary of Results'!$A:$A, 0)) - 1)*100), NA()))</f>
        <v>#N/A</v>
      </c>
      <c r="F245" s="908" t="e">
        <f>IF(IFERROR(IF($C$155 = "Absolute", INDEX('Summary of Results'!I:I, MATCH($B245, 'Summary of Results'!$A:$A, 0)), (INDEX('Summary of Results'!I:I, MATCH($B245, 'Summary of Results'!$A:$A, 0))/INDEX('Summary of Results'!$G:$G, MATCH($B245, 'Summary of Results'!$A:$A, 0)) - 1)*100), NA()) = "", "", IFERROR(IF($C$155 = "Absolute", INDEX('Summary of Results'!I:I, MATCH($B245, 'Summary of Results'!$A:$A, 0)), (INDEX('Summary of Results'!I:I, MATCH($B245, 'Summary of Results'!$A:$A, 0))/INDEX('Summary of Results'!$G:$G, MATCH($B245, 'Summary of Results'!$A:$A, 0)) - 1)*100), NA()))</f>
        <v>#N/A</v>
      </c>
      <c r="G245" s="908" t="e">
        <f>IF(IFERROR(IF($C$155 = "Absolute", INDEX('Summary of Results'!J:J, MATCH($B245, 'Summary of Results'!$A:$A, 0)), (INDEX('Summary of Results'!J:J, MATCH($B245, 'Summary of Results'!$A:$A, 0))/INDEX('Summary of Results'!$G:$G, MATCH($B245, 'Summary of Results'!$A:$A, 0)) - 1)*100), NA()) = "", "", IFERROR(IF($C$155 = "Absolute", INDEX('Summary of Results'!J:J, MATCH($B245, 'Summary of Results'!$A:$A, 0)), (INDEX('Summary of Results'!J:J, MATCH($B245, 'Summary of Results'!$A:$A, 0))/INDEX('Summary of Results'!$G:$G, MATCH($B245, 'Summary of Results'!$A:$A, 0)) - 1)*100), NA()))</f>
        <v>#N/A</v>
      </c>
      <c r="H245" s="908" t="e">
        <f>IF(IFERROR(IF($C$155 = "Absolute", INDEX('Summary of Results'!K:K, MATCH($B245, 'Summary of Results'!$A:$A, 0)), (INDEX('Summary of Results'!K:K, MATCH($B245, 'Summary of Results'!$A:$A, 0))/INDEX('Summary of Results'!$G:$G, MATCH($B245, 'Summary of Results'!$A:$A, 0)) - 1)*100), NA()) = "", "", IFERROR(IF($C$155 = "Absolute", INDEX('Summary of Results'!K:K, MATCH($B245, 'Summary of Results'!$A:$A, 0)), (INDEX('Summary of Results'!K:K, MATCH($B245, 'Summary of Results'!$A:$A, 0))/INDEX('Summary of Results'!$G:$G, MATCH($B245, 'Summary of Results'!$A:$A, 0)) - 1)*100), NA()))</f>
        <v>#N/A</v>
      </c>
      <c r="I245" s="908" t="e">
        <f>IF(IFERROR(IF($C$155 = "Absolute", INDEX('Summary of Results'!L:L, MATCH($B245, 'Summary of Results'!$A:$A, 0)), (INDEX('Summary of Results'!L:L, MATCH($B245, 'Summary of Results'!$A:$A, 0))/INDEX('Summary of Results'!$G:$G, MATCH($B245, 'Summary of Results'!$A:$A, 0)) - 1)*100), NA()) = "", "", IFERROR(IF($C$155 = "Absolute", INDEX('Summary of Results'!L:L, MATCH($B245, 'Summary of Results'!$A:$A, 0)), (INDEX('Summary of Results'!L:L, MATCH($B245, 'Summary of Results'!$A:$A, 0))/INDEX('Summary of Results'!$G:$G, MATCH($B245, 'Summary of Results'!$A:$A, 0)) - 1)*100), NA()))</f>
        <v>#N/A</v>
      </c>
      <c r="J245" s="908" t="e">
        <f>IF(IFERROR(IF($C$155 = "Absolute", INDEX('Summary of Results'!M:M, MATCH($B245, 'Summary of Results'!$A:$A, 0)), (INDEX('Summary of Results'!M:M, MATCH($B245, 'Summary of Results'!$A:$A, 0))/INDEX('Summary of Results'!$G:$G, MATCH($B245, 'Summary of Results'!$A:$A, 0)) - 1)*100), NA()) = "", "", IFERROR(IF($C$155 = "Absolute", INDEX('Summary of Results'!M:M, MATCH($B245, 'Summary of Results'!$A:$A, 0)), (INDEX('Summary of Results'!M:M, MATCH($B245, 'Summary of Results'!$A:$A, 0))/INDEX('Summary of Results'!$G:$G, MATCH($B245, 'Summary of Results'!$A:$A, 0)) - 1)*100), NA()))</f>
        <v>#N/A</v>
      </c>
    </row>
    <row r="246" spans="2:10" customFormat="1" x14ac:dyDescent="0.2">
      <c r="B246" s="27">
        <v>46</v>
      </c>
      <c r="C246" s="907" t="e">
        <f>IFERROR(INDEX('Summary of Results'!$B:$B, MATCH(B246, 'Summary of Results'!$A:$A, 0)), NA())</f>
        <v>#N/A</v>
      </c>
      <c r="D246" s="908" t="e">
        <f>IF(IFERROR(IF($C$155 = "Absolute", INDEX('Summary of Results'!G:G, MATCH($B246, 'Summary of Results'!$A:$A, 0)), (INDEX('Summary of Results'!G:G, MATCH($B246, 'Summary of Results'!$A:$A, 0))/INDEX('Summary of Results'!$G:$G, MATCH($B246, 'Summary of Results'!$A:$A, 0)) - 1)*100), NA()) = "", "", IFERROR(IF($C$155 = "Absolute", INDEX('Summary of Results'!G:G, MATCH($B246, 'Summary of Results'!$A:$A, 0)), (INDEX('Summary of Results'!G:G, MATCH($B246, 'Summary of Results'!$A:$A, 0))/INDEX('Summary of Results'!$G:$G, MATCH($B246, 'Summary of Results'!$A:$A, 0)) - 1)*100), NA()))</f>
        <v>#N/A</v>
      </c>
      <c r="E246" s="908" t="e">
        <f>IF(IFERROR(IF($C$155 = "Absolute", INDEX('Summary of Results'!H:H, MATCH($B246, 'Summary of Results'!$A:$A, 0)), (INDEX('Summary of Results'!H:H, MATCH($B246, 'Summary of Results'!$A:$A, 0))/INDEX('Summary of Results'!$G:$G, MATCH($B246, 'Summary of Results'!$A:$A, 0)) - 1)*100), NA()) = "", "", IFERROR(IF($C$155 = "Absolute", INDEX('Summary of Results'!H:H, MATCH($B246, 'Summary of Results'!$A:$A, 0)), (INDEX('Summary of Results'!H:H, MATCH($B246, 'Summary of Results'!$A:$A, 0))/INDEX('Summary of Results'!$G:$G, MATCH($B246, 'Summary of Results'!$A:$A, 0)) - 1)*100), NA()))</f>
        <v>#N/A</v>
      </c>
      <c r="F246" s="908" t="e">
        <f>IF(IFERROR(IF($C$155 = "Absolute", INDEX('Summary of Results'!I:I, MATCH($B246, 'Summary of Results'!$A:$A, 0)), (INDEX('Summary of Results'!I:I, MATCH($B246, 'Summary of Results'!$A:$A, 0))/INDEX('Summary of Results'!$G:$G, MATCH($B246, 'Summary of Results'!$A:$A, 0)) - 1)*100), NA()) = "", "", IFERROR(IF($C$155 = "Absolute", INDEX('Summary of Results'!I:I, MATCH($B246, 'Summary of Results'!$A:$A, 0)), (INDEX('Summary of Results'!I:I, MATCH($B246, 'Summary of Results'!$A:$A, 0))/INDEX('Summary of Results'!$G:$G, MATCH($B246, 'Summary of Results'!$A:$A, 0)) - 1)*100), NA()))</f>
        <v>#N/A</v>
      </c>
      <c r="G246" s="908" t="e">
        <f>IF(IFERROR(IF($C$155 = "Absolute", INDEX('Summary of Results'!J:J, MATCH($B246, 'Summary of Results'!$A:$A, 0)), (INDEX('Summary of Results'!J:J, MATCH($B246, 'Summary of Results'!$A:$A, 0))/INDEX('Summary of Results'!$G:$G, MATCH($B246, 'Summary of Results'!$A:$A, 0)) - 1)*100), NA()) = "", "", IFERROR(IF($C$155 = "Absolute", INDEX('Summary of Results'!J:J, MATCH($B246, 'Summary of Results'!$A:$A, 0)), (INDEX('Summary of Results'!J:J, MATCH($B246, 'Summary of Results'!$A:$A, 0))/INDEX('Summary of Results'!$G:$G, MATCH($B246, 'Summary of Results'!$A:$A, 0)) - 1)*100), NA()))</f>
        <v>#N/A</v>
      </c>
      <c r="H246" s="908" t="e">
        <f>IF(IFERROR(IF($C$155 = "Absolute", INDEX('Summary of Results'!K:K, MATCH($B246, 'Summary of Results'!$A:$A, 0)), (INDEX('Summary of Results'!K:K, MATCH($B246, 'Summary of Results'!$A:$A, 0))/INDEX('Summary of Results'!$G:$G, MATCH($B246, 'Summary of Results'!$A:$A, 0)) - 1)*100), NA()) = "", "", IFERROR(IF($C$155 = "Absolute", INDEX('Summary of Results'!K:K, MATCH($B246, 'Summary of Results'!$A:$A, 0)), (INDEX('Summary of Results'!K:K, MATCH($B246, 'Summary of Results'!$A:$A, 0))/INDEX('Summary of Results'!$G:$G, MATCH($B246, 'Summary of Results'!$A:$A, 0)) - 1)*100), NA()))</f>
        <v>#N/A</v>
      </c>
      <c r="I246" s="908" t="e">
        <f>IF(IFERROR(IF($C$155 = "Absolute", INDEX('Summary of Results'!L:L, MATCH($B246, 'Summary of Results'!$A:$A, 0)), (INDEX('Summary of Results'!L:L, MATCH($B246, 'Summary of Results'!$A:$A, 0))/INDEX('Summary of Results'!$G:$G, MATCH($B246, 'Summary of Results'!$A:$A, 0)) - 1)*100), NA()) = "", "", IFERROR(IF($C$155 = "Absolute", INDEX('Summary of Results'!L:L, MATCH($B246, 'Summary of Results'!$A:$A, 0)), (INDEX('Summary of Results'!L:L, MATCH($B246, 'Summary of Results'!$A:$A, 0))/INDEX('Summary of Results'!$G:$G, MATCH($B246, 'Summary of Results'!$A:$A, 0)) - 1)*100), NA()))</f>
        <v>#N/A</v>
      </c>
      <c r="J246" s="908" t="e">
        <f>IF(IFERROR(IF($C$155 = "Absolute", INDEX('Summary of Results'!M:M, MATCH($B246, 'Summary of Results'!$A:$A, 0)), (INDEX('Summary of Results'!M:M, MATCH($B246, 'Summary of Results'!$A:$A, 0))/INDEX('Summary of Results'!$G:$G, MATCH($B246, 'Summary of Results'!$A:$A, 0)) - 1)*100), NA()) = "", "", IFERROR(IF($C$155 = "Absolute", INDEX('Summary of Results'!M:M, MATCH($B246, 'Summary of Results'!$A:$A, 0)), (INDEX('Summary of Results'!M:M, MATCH($B246, 'Summary of Results'!$A:$A, 0))/INDEX('Summary of Results'!$G:$G, MATCH($B246, 'Summary of Results'!$A:$A, 0)) - 1)*100), NA()))</f>
        <v>#N/A</v>
      </c>
    </row>
    <row r="247" spans="2:10" customFormat="1" x14ac:dyDescent="0.2">
      <c r="B247" s="6"/>
      <c r="C247" s="6"/>
      <c r="D247" s="6"/>
      <c r="E247" s="6"/>
      <c r="F247" s="6"/>
      <c r="G247" s="6"/>
      <c r="H247" s="6"/>
      <c r="I247" s="6"/>
      <c r="J247" s="6"/>
    </row>
    <row r="248" spans="2:10" customFormat="1" x14ac:dyDescent="0.2">
      <c r="B248" s="6"/>
      <c r="C248" s="6"/>
      <c r="D248" s="6"/>
      <c r="E248" s="6"/>
      <c r="F248" s="6"/>
      <c r="G248" s="6"/>
      <c r="H248" s="6"/>
      <c r="I248" s="6"/>
      <c r="J248" s="6"/>
    </row>
    <row r="249" spans="2:10" customFormat="1" x14ac:dyDescent="0.2">
      <c r="B249" s="6"/>
      <c r="C249" s="6"/>
      <c r="D249" s="6"/>
      <c r="E249" s="6"/>
      <c r="F249" s="6"/>
      <c r="G249" s="6"/>
      <c r="H249" s="6"/>
      <c r="I249" s="6"/>
      <c r="J249" s="6"/>
    </row>
    <row r="250" spans="2:10" customFormat="1" x14ac:dyDescent="0.2">
      <c r="B250" s="6"/>
      <c r="C250" s="6"/>
      <c r="D250" s="6"/>
      <c r="E250" s="6"/>
      <c r="F250" s="6"/>
      <c r="G250" s="6"/>
      <c r="H250" s="6"/>
      <c r="I250" s="6"/>
      <c r="J250" s="6"/>
    </row>
    <row r="251" spans="2:10" customFormat="1" x14ac:dyDescent="0.2">
      <c r="B251" s="6"/>
      <c r="C251" s="6"/>
      <c r="D251" s="6"/>
      <c r="E251" s="6"/>
      <c r="F251" s="6"/>
      <c r="G251" s="6"/>
      <c r="H251" s="6"/>
      <c r="I251" s="6"/>
      <c r="J251" s="6"/>
    </row>
    <row r="252" spans="2:10" customFormat="1" x14ac:dyDescent="0.2">
      <c r="B252" s="6"/>
      <c r="C252" s="6"/>
      <c r="D252" s="6"/>
      <c r="E252" s="6"/>
      <c r="F252" s="6"/>
      <c r="G252" s="6"/>
      <c r="H252" s="6"/>
      <c r="I252" s="6"/>
      <c r="J252" s="6"/>
    </row>
    <row r="253" spans="2:10" customFormat="1" x14ac:dyDescent="0.2">
      <c r="B253" s="6"/>
      <c r="C253" s="6"/>
      <c r="D253" s="6"/>
      <c r="E253" s="6"/>
      <c r="F253" s="6"/>
      <c r="G253" s="6"/>
      <c r="H253" s="6"/>
      <c r="I253" s="6"/>
      <c r="J253" s="6"/>
    </row>
    <row r="254" spans="2:10" customFormat="1" x14ac:dyDescent="0.2">
      <c r="B254" s="6"/>
      <c r="C254" s="6"/>
      <c r="D254" s="6"/>
      <c r="E254" s="6"/>
      <c r="F254" s="6"/>
      <c r="G254" s="6"/>
      <c r="H254" s="6"/>
      <c r="I254" s="6"/>
      <c r="J254" s="6"/>
    </row>
    <row r="255" spans="2:10" customFormat="1" x14ac:dyDescent="0.2">
      <c r="B255" s="6"/>
      <c r="C255" s="6"/>
      <c r="D255" s="6"/>
      <c r="E255" s="6"/>
      <c r="F255" s="6"/>
      <c r="G255" s="6"/>
      <c r="H255" s="6"/>
      <c r="I255" s="6"/>
      <c r="J255" s="6"/>
    </row>
    <row r="256" spans="2:10" customFormat="1" x14ac:dyDescent="0.2">
      <c r="B256" s="6"/>
      <c r="C256" s="6"/>
      <c r="D256" s="6"/>
      <c r="E256" s="6"/>
      <c r="F256" s="6"/>
      <c r="G256" s="6"/>
      <c r="H256" s="6"/>
      <c r="I256" s="6"/>
      <c r="J256" s="6"/>
    </row>
    <row r="257" spans="2:10" customFormat="1" x14ac:dyDescent="0.2">
      <c r="B257" s="6"/>
      <c r="C257" s="6"/>
      <c r="D257" s="6"/>
      <c r="E257" s="6"/>
      <c r="F257" s="6"/>
      <c r="G257" s="6"/>
      <c r="H257" s="6"/>
      <c r="I257" s="6"/>
      <c r="J257" s="6"/>
    </row>
    <row r="258" spans="2:10" customFormat="1" x14ac:dyDescent="0.2">
      <c r="B258" s="6"/>
      <c r="C258" s="6"/>
      <c r="D258" s="6"/>
      <c r="E258" s="6"/>
      <c r="F258" s="6"/>
      <c r="G258" s="6"/>
      <c r="H258" s="6"/>
      <c r="I258" s="6"/>
      <c r="J258" s="6"/>
    </row>
    <row r="259" spans="2:10" customFormat="1" x14ac:dyDescent="0.2">
      <c r="B259" s="6"/>
      <c r="C259" s="6"/>
      <c r="D259" s="6"/>
      <c r="E259" s="6"/>
      <c r="F259" s="6"/>
      <c r="G259" s="6"/>
      <c r="H259" s="6"/>
      <c r="I259" s="6"/>
      <c r="J259" s="6"/>
    </row>
    <row r="260" spans="2:10" customFormat="1" x14ac:dyDescent="0.2">
      <c r="B260" s="6"/>
      <c r="C260" s="6"/>
      <c r="D260" s="6"/>
      <c r="E260" s="6"/>
      <c r="F260" s="6"/>
      <c r="G260" s="6"/>
      <c r="H260" s="6"/>
      <c r="I260" s="6"/>
      <c r="J260" s="6"/>
    </row>
    <row r="261" spans="2:10" customFormat="1" x14ac:dyDescent="0.2">
      <c r="B261" s="6"/>
      <c r="C261" s="6"/>
      <c r="D261" s="6"/>
      <c r="E261" s="6"/>
      <c r="F261" s="6"/>
      <c r="G261" s="6"/>
      <c r="H261" s="6"/>
      <c r="I261" s="6"/>
      <c r="J261" s="6"/>
    </row>
    <row r="262" spans="2:10" customFormat="1" x14ac:dyDescent="0.2">
      <c r="B262" s="6"/>
      <c r="C262" s="6"/>
      <c r="D262" s="6"/>
      <c r="E262" s="6"/>
      <c r="F262" s="6"/>
      <c r="G262" s="6"/>
      <c r="H262" s="6"/>
      <c r="I262" s="6"/>
      <c r="J262" s="6"/>
    </row>
    <row r="263" spans="2:10" customFormat="1" x14ac:dyDescent="0.2">
      <c r="B263" s="6"/>
      <c r="C263" s="6"/>
      <c r="D263" s="6"/>
      <c r="E263" s="6"/>
      <c r="F263" s="6"/>
      <c r="G263" s="6"/>
      <c r="H263" s="6"/>
      <c r="I263" s="6"/>
      <c r="J263" s="6"/>
    </row>
    <row r="264" spans="2:10" customFormat="1" x14ac:dyDescent="0.2">
      <c r="B264" s="6"/>
      <c r="C264" s="6"/>
      <c r="D264" s="6"/>
      <c r="E264" s="6"/>
      <c r="F264" s="6"/>
      <c r="G264" s="6"/>
      <c r="H264" s="6"/>
      <c r="I264" s="6"/>
      <c r="J264" s="6"/>
    </row>
    <row r="265" spans="2:10" customFormat="1" x14ac:dyDescent="0.2">
      <c r="B265" s="6"/>
      <c r="C265" s="6"/>
      <c r="D265" s="6"/>
      <c r="E265" s="6"/>
      <c r="F265" s="6"/>
      <c r="G265" s="6"/>
      <c r="H265" s="6"/>
      <c r="I265" s="6"/>
      <c r="J265" s="6"/>
    </row>
    <row r="266" spans="2:10" customFormat="1" x14ac:dyDescent="0.2">
      <c r="B266" s="6"/>
      <c r="C266" s="6"/>
      <c r="D266" s="6"/>
      <c r="E266" s="6"/>
      <c r="F266" s="6"/>
      <c r="G266" s="6"/>
      <c r="H266" s="6"/>
      <c r="I266" s="6"/>
      <c r="J266" s="6"/>
    </row>
    <row r="267" spans="2:10" customFormat="1" x14ac:dyDescent="0.2">
      <c r="B267" s="6"/>
      <c r="C267" s="6"/>
      <c r="D267" s="6"/>
      <c r="E267" s="6"/>
      <c r="F267" s="6"/>
      <c r="G267" s="6"/>
      <c r="H267" s="6"/>
      <c r="I267" s="6"/>
      <c r="J267" s="6"/>
    </row>
    <row r="268" spans="2:10" customFormat="1" x14ac:dyDescent="0.2">
      <c r="B268" s="6"/>
      <c r="C268" s="6"/>
      <c r="D268" s="6"/>
      <c r="E268" s="6"/>
      <c r="F268" s="6"/>
      <c r="G268" s="6"/>
      <c r="H268" s="6"/>
      <c r="I268" s="6"/>
      <c r="J268" s="6"/>
    </row>
    <row r="269" spans="2:10" customFormat="1" x14ac:dyDescent="0.2">
      <c r="B269" s="6"/>
      <c r="C269" s="6"/>
      <c r="D269" s="6"/>
      <c r="E269" s="6"/>
      <c r="F269" s="6"/>
      <c r="G269" s="6"/>
      <c r="H269" s="6"/>
      <c r="I269" s="6"/>
      <c r="J269" s="6"/>
    </row>
    <row r="270" spans="2:10" customFormat="1" x14ac:dyDescent="0.2">
      <c r="B270" s="6"/>
      <c r="C270" s="6"/>
      <c r="D270" s="6"/>
      <c r="E270" s="6"/>
      <c r="F270" s="6"/>
      <c r="G270" s="6"/>
      <c r="H270" s="6"/>
      <c r="I270" s="6"/>
      <c r="J270" s="6"/>
    </row>
    <row r="271" spans="2:10" customFormat="1" x14ac:dyDescent="0.2">
      <c r="B271" s="6"/>
      <c r="C271" s="6"/>
      <c r="D271" s="6"/>
      <c r="E271" s="6"/>
      <c r="F271" s="6"/>
      <c r="G271" s="6"/>
      <c r="H271" s="6"/>
      <c r="I271" s="6"/>
      <c r="J271" s="6"/>
    </row>
    <row r="272" spans="2:10" customFormat="1" x14ac:dyDescent="0.2">
      <c r="B272" s="6"/>
      <c r="C272" s="6"/>
      <c r="D272" s="6"/>
      <c r="E272" s="6"/>
      <c r="F272" s="6"/>
      <c r="G272" s="6"/>
      <c r="H272" s="6"/>
      <c r="I272" s="6"/>
      <c r="J272" s="6"/>
    </row>
    <row r="273" spans="2:10" customFormat="1" x14ac:dyDescent="0.2">
      <c r="B273" s="6"/>
      <c r="C273" s="6"/>
      <c r="D273" s="6"/>
      <c r="E273" s="6"/>
      <c r="F273" s="6"/>
      <c r="G273" s="6"/>
      <c r="H273" s="6"/>
      <c r="I273" s="6"/>
      <c r="J273" s="6"/>
    </row>
    <row r="274" spans="2:10" customFormat="1" x14ac:dyDescent="0.2">
      <c r="B274" s="6"/>
      <c r="C274" s="6"/>
      <c r="D274" s="6"/>
      <c r="E274" s="6"/>
      <c r="F274" s="6"/>
      <c r="G274" s="6"/>
      <c r="H274" s="6"/>
      <c r="I274" s="6"/>
      <c r="J274" s="6"/>
    </row>
    <row r="275" spans="2:10" customFormat="1" x14ac:dyDescent="0.2">
      <c r="B275" s="6"/>
      <c r="C275" s="6"/>
      <c r="D275" s="6"/>
      <c r="E275" s="6"/>
      <c r="F275" s="6"/>
      <c r="G275" s="6"/>
      <c r="H275" s="6"/>
      <c r="I275" s="6"/>
      <c r="J275" s="6"/>
    </row>
    <row r="276" spans="2:10" customFormat="1" x14ac:dyDescent="0.2">
      <c r="B276" s="6"/>
      <c r="C276" s="6"/>
      <c r="D276" s="6"/>
      <c r="E276" s="6"/>
      <c r="F276" s="6"/>
      <c r="G276" s="6"/>
      <c r="H276" s="6"/>
      <c r="I276" s="6"/>
      <c r="J276" s="6"/>
    </row>
    <row r="277" spans="2:10" customFormat="1" x14ac:dyDescent="0.2">
      <c r="B277" s="6"/>
      <c r="C277" s="6"/>
      <c r="D277" s="6"/>
      <c r="E277" s="6"/>
      <c r="F277" s="6"/>
      <c r="G277" s="6"/>
      <c r="H277" s="6"/>
      <c r="I277" s="6"/>
      <c r="J277" s="6"/>
    </row>
    <row r="278" spans="2:10" customFormat="1" x14ac:dyDescent="0.2">
      <c r="B278" s="6"/>
      <c r="C278" s="6"/>
      <c r="D278" s="6"/>
      <c r="E278" s="6"/>
      <c r="F278" s="6"/>
      <c r="G278" s="6"/>
      <c r="H278" s="6"/>
      <c r="I278" s="6"/>
      <c r="J278" s="6"/>
    </row>
    <row r="279" spans="2:10" customFormat="1" x14ac:dyDescent="0.2">
      <c r="B279" s="6"/>
      <c r="C279" s="6"/>
      <c r="D279" s="6"/>
      <c r="E279" s="6"/>
      <c r="F279" s="6"/>
      <c r="G279" s="6"/>
      <c r="H279" s="6"/>
      <c r="I279" s="6"/>
      <c r="J279" s="6"/>
    </row>
    <row r="280" spans="2:10" customFormat="1" x14ac:dyDescent="0.2">
      <c r="B280" s="6"/>
      <c r="C280" s="6"/>
      <c r="D280" s="6"/>
      <c r="E280" s="6"/>
      <c r="F280" s="6"/>
      <c r="G280" s="6"/>
      <c r="H280" s="6"/>
      <c r="I280" s="6"/>
      <c r="J280" s="6"/>
    </row>
    <row r="281" spans="2:10" customFormat="1" ht="17.25" customHeight="1" x14ac:dyDescent="0.2">
      <c r="B281" s="6"/>
      <c r="C281" s="6"/>
      <c r="D281" s="6"/>
      <c r="E281" s="6"/>
      <c r="F281" s="6"/>
      <c r="G281" s="6"/>
      <c r="H281" s="6"/>
      <c r="I281" s="6"/>
      <c r="J281" s="6"/>
    </row>
    <row r="282" spans="2:10" customFormat="1" x14ac:dyDescent="0.2">
      <c r="B282" s="6"/>
      <c r="C282" s="6"/>
      <c r="D282" s="6"/>
      <c r="E282" s="6"/>
      <c r="F282" s="6"/>
      <c r="G282" s="6"/>
      <c r="H282" s="6"/>
      <c r="I282" s="6"/>
      <c r="J282" s="6"/>
    </row>
    <row r="283" spans="2:10" customFormat="1" x14ac:dyDescent="0.2">
      <c r="B283" s="6"/>
      <c r="C283" s="6"/>
      <c r="D283" s="6"/>
      <c r="E283" s="6"/>
      <c r="F283" s="6"/>
      <c r="G283" s="6"/>
      <c r="H283" s="6"/>
      <c r="I283" s="6"/>
      <c r="J283" s="6"/>
    </row>
    <row r="284" spans="2:10" customFormat="1" x14ac:dyDescent="0.2">
      <c r="B284" s="6"/>
      <c r="C284" s="6"/>
      <c r="D284" s="6"/>
      <c r="E284" s="6"/>
      <c r="F284" s="6"/>
      <c r="G284" s="6"/>
      <c r="H284" s="6"/>
      <c r="I284" s="6"/>
      <c r="J284" s="6"/>
    </row>
    <row r="285" spans="2:10" customFormat="1" x14ac:dyDescent="0.2">
      <c r="B285" s="6"/>
      <c r="C285" s="6"/>
      <c r="D285" s="6"/>
      <c r="E285" s="6"/>
      <c r="F285" s="6"/>
      <c r="G285" s="6"/>
      <c r="H285" s="6"/>
      <c r="I285" s="6"/>
      <c r="J285" s="6"/>
    </row>
    <row r="286" spans="2:10" customFormat="1" x14ac:dyDescent="0.2">
      <c r="B286" s="6"/>
      <c r="C286" s="6"/>
      <c r="D286" s="6"/>
      <c r="E286" s="6"/>
      <c r="F286" s="6"/>
      <c r="G286" s="6"/>
      <c r="H286" s="6"/>
      <c r="I286" s="6"/>
      <c r="J286" s="6"/>
    </row>
    <row r="287" spans="2:10" customFormat="1" x14ac:dyDescent="0.2">
      <c r="B287" s="6"/>
      <c r="C287" s="6"/>
      <c r="D287" s="6"/>
      <c r="E287" s="6"/>
      <c r="F287" s="6"/>
      <c r="G287" s="6"/>
      <c r="H287" s="6"/>
      <c r="I287" s="6"/>
      <c r="J287" s="6"/>
    </row>
    <row r="288" spans="2:10" customFormat="1" x14ac:dyDescent="0.2">
      <c r="B288" s="6"/>
      <c r="C288" s="6"/>
      <c r="D288" s="6"/>
      <c r="E288" s="6"/>
      <c r="F288" s="6"/>
      <c r="G288" s="6"/>
      <c r="H288" s="6"/>
      <c r="I288" s="6"/>
      <c r="J288" s="6"/>
    </row>
    <row r="289" spans="2:10" customFormat="1" x14ac:dyDescent="0.2">
      <c r="B289" s="6"/>
      <c r="C289" s="6"/>
      <c r="D289" s="6"/>
      <c r="E289" s="6"/>
      <c r="F289" s="6"/>
      <c r="G289" s="6"/>
      <c r="H289" s="6"/>
      <c r="I289" s="6"/>
      <c r="J289" s="6"/>
    </row>
    <row r="290" spans="2:10" customFormat="1" x14ac:dyDescent="0.2">
      <c r="B290" s="6"/>
      <c r="C290" s="6"/>
      <c r="D290" s="6"/>
      <c r="E290" s="6"/>
      <c r="F290" s="6"/>
      <c r="G290" s="6"/>
      <c r="H290" s="6"/>
      <c r="I290" s="6"/>
      <c r="J290" s="6"/>
    </row>
    <row r="291" spans="2:10" customFormat="1" x14ac:dyDescent="0.2">
      <c r="B291" s="6"/>
      <c r="C291" s="6"/>
      <c r="D291" s="6"/>
      <c r="E291" s="6"/>
      <c r="F291" s="6"/>
      <c r="G291" s="6"/>
      <c r="H291" s="6"/>
      <c r="I291" s="6"/>
      <c r="J291" s="6"/>
    </row>
    <row r="292" spans="2:10" customFormat="1" x14ac:dyDescent="0.2">
      <c r="B292" s="6"/>
      <c r="C292" s="6"/>
      <c r="D292" s="6"/>
      <c r="E292" s="6"/>
      <c r="F292" s="6"/>
      <c r="G292" s="6"/>
      <c r="H292" s="6"/>
      <c r="I292" s="6"/>
      <c r="J292" s="6"/>
    </row>
    <row r="293" spans="2:10" customFormat="1" x14ac:dyDescent="0.2">
      <c r="B293" s="6"/>
      <c r="C293" s="6"/>
      <c r="D293" s="6"/>
      <c r="E293" s="6"/>
      <c r="F293" s="6"/>
      <c r="G293" s="6"/>
      <c r="H293" s="6"/>
      <c r="I293" s="6"/>
      <c r="J293" s="6"/>
    </row>
    <row r="294" spans="2:10" customFormat="1" x14ac:dyDescent="0.2">
      <c r="B294" s="6"/>
      <c r="C294" s="6"/>
      <c r="D294" s="6"/>
      <c r="E294" s="6"/>
      <c r="F294" s="6"/>
      <c r="G294" s="6"/>
      <c r="H294" s="6"/>
      <c r="I294" s="6"/>
      <c r="J294" s="6"/>
    </row>
    <row r="295" spans="2:10" customFormat="1" x14ac:dyDescent="0.2">
      <c r="B295" s="6"/>
      <c r="C295" s="6"/>
      <c r="D295" s="6"/>
      <c r="E295" s="6"/>
      <c r="F295" s="6"/>
      <c r="G295" s="6"/>
      <c r="H295" s="6"/>
      <c r="I295" s="6"/>
      <c r="J295" s="6"/>
    </row>
    <row r="296" spans="2:10" customFormat="1" x14ac:dyDescent="0.2">
      <c r="B296" s="6"/>
      <c r="C296" s="6"/>
      <c r="D296" s="6"/>
      <c r="E296" s="6"/>
      <c r="F296" s="6"/>
      <c r="G296" s="6"/>
      <c r="H296" s="6"/>
      <c r="I296" s="6"/>
      <c r="J296" s="6"/>
    </row>
    <row r="297" spans="2:10" customFormat="1" x14ac:dyDescent="0.2">
      <c r="B297" s="6"/>
      <c r="C297" s="6"/>
      <c r="D297" s="6"/>
      <c r="E297" s="6"/>
      <c r="F297" s="6"/>
      <c r="G297" s="6"/>
      <c r="H297" s="6"/>
      <c r="I297" s="6"/>
      <c r="J297" s="6"/>
    </row>
    <row r="298" spans="2:10" customFormat="1" x14ac:dyDescent="0.2">
      <c r="B298" s="6"/>
      <c r="C298" s="6"/>
      <c r="D298" s="6"/>
      <c r="E298" s="6"/>
      <c r="F298" s="6"/>
      <c r="G298" s="6"/>
      <c r="H298" s="6"/>
      <c r="I298" s="6"/>
      <c r="J298" s="6"/>
    </row>
    <row r="299" spans="2:10" customFormat="1" x14ac:dyDescent="0.2">
      <c r="B299" s="6"/>
      <c r="C299" s="6"/>
      <c r="D299" s="6"/>
      <c r="E299" s="6"/>
      <c r="F299" s="6"/>
      <c r="G299" s="6"/>
      <c r="H299" s="6"/>
      <c r="I299" s="6"/>
      <c r="J299" s="6"/>
    </row>
    <row r="300" spans="2:10" customFormat="1" x14ac:dyDescent="0.2">
      <c r="B300" s="6"/>
      <c r="C300" s="6"/>
      <c r="D300" s="6"/>
      <c r="E300" s="6"/>
      <c r="F300" s="6"/>
      <c r="G300" s="6"/>
      <c r="H300" s="6"/>
      <c r="I300" s="6"/>
      <c r="J300" s="6"/>
    </row>
    <row r="301" spans="2:10" customFormat="1" x14ac:dyDescent="0.2">
      <c r="B301" s="6"/>
      <c r="C301" s="6"/>
      <c r="D301" s="6"/>
      <c r="E301" s="6"/>
      <c r="F301" s="6"/>
      <c r="G301" s="6"/>
      <c r="H301" s="6"/>
      <c r="I301" s="6"/>
      <c r="J301" s="6"/>
    </row>
    <row r="302" spans="2:10" customFormat="1" x14ac:dyDescent="0.2">
      <c r="B302" s="6"/>
      <c r="C302" s="6"/>
      <c r="D302" s="6"/>
      <c r="E302" s="6"/>
      <c r="F302" s="6"/>
      <c r="G302" s="6"/>
      <c r="H302" s="6"/>
      <c r="I302" s="6"/>
      <c r="J302" s="6"/>
    </row>
    <row r="303" spans="2:10" customFormat="1" x14ac:dyDescent="0.2">
      <c r="B303" s="6"/>
      <c r="C303" s="6"/>
      <c r="D303" s="6"/>
      <c r="E303" s="6"/>
      <c r="F303" s="6"/>
      <c r="G303" s="6"/>
      <c r="H303" s="6"/>
      <c r="I303" s="6"/>
      <c r="J303" s="6"/>
    </row>
    <row r="304" spans="2:10" customFormat="1" x14ac:dyDescent="0.2">
      <c r="B304" s="6"/>
      <c r="C304" s="6"/>
      <c r="D304" s="6"/>
      <c r="E304" s="6"/>
      <c r="F304" s="6"/>
      <c r="G304" s="6"/>
      <c r="H304" s="6"/>
      <c r="I304" s="6"/>
      <c r="J304" s="6"/>
    </row>
    <row r="305" spans="2:10" customFormat="1" x14ac:dyDescent="0.2">
      <c r="B305" s="6"/>
      <c r="C305" s="6"/>
      <c r="D305" s="6"/>
      <c r="E305" s="6"/>
      <c r="F305" s="6"/>
      <c r="G305" s="6"/>
      <c r="H305" s="6"/>
      <c r="I305" s="6"/>
      <c r="J305" s="6"/>
    </row>
    <row r="306" spans="2:10" customFormat="1" x14ac:dyDescent="0.2">
      <c r="B306" s="6"/>
      <c r="C306" s="6"/>
      <c r="D306" s="6"/>
      <c r="E306" s="6"/>
      <c r="F306" s="6"/>
      <c r="G306" s="6"/>
      <c r="H306" s="6"/>
      <c r="I306" s="6"/>
      <c r="J306" s="6"/>
    </row>
    <row r="307" spans="2:10" customFormat="1" x14ac:dyDescent="0.2">
      <c r="B307" s="6"/>
      <c r="C307" s="6"/>
      <c r="D307" s="6"/>
      <c r="E307" s="6"/>
      <c r="F307" s="6"/>
      <c r="G307" s="6"/>
      <c r="H307" s="6"/>
      <c r="I307" s="6"/>
      <c r="J307" s="6"/>
    </row>
    <row r="308" spans="2:10" customFormat="1" x14ac:dyDescent="0.2">
      <c r="B308" s="6"/>
      <c r="C308" s="6"/>
      <c r="D308" s="6"/>
      <c r="E308" s="6"/>
      <c r="F308" s="6"/>
      <c r="G308" s="6"/>
      <c r="H308" s="6"/>
      <c r="I308" s="6"/>
      <c r="J308" s="6"/>
    </row>
    <row r="309" spans="2:10" customFormat="1" x14ac:dyDescent="0.2">
      <c r="B309" s="6"/>
      <c r="C309" s="6"/>
      <c r="D309" s="6"/>
      <c r="E309" s="6"/>
      <c r="F309" s="6"/>
      <c r="G309" s="6"/>
      <c r="H309" s="6"/>
      <c r="I309" s="6"/>
      <c r="J309" s="6"/>
    </row>
    <row r="310" spans="2:10" customFormat="1" x14ac:dyDescent="0.2">
      <c r="B310" s="6"/>
      <c r="C310" s="6"/>
      <c r="D310" s="6"/>
      <c r="E310" s="6"/>
      <c r="F310" s="6"/>
      <c r="G310" s="6"/>
      <c r="H310" s="6"/>
      <c r="I310" s="6"/>
      <c r="J310" s="6"/>
    </row>
    <row r="311" spans="2:10" customFormat="1" x14ac:dyDescent="0.2">
      <c r="B311" s="6"/>
      <c r="C311" s="6"/>
      <c r="D311" s="6"/>
      <c r="E311" s="6"/>
      <c r="F311" s="6"/>
      <c r="G311" s="6"/>
      <c r="H311" s="6"/>
      <c r="I311" s="6"/>
      <c r="J311" s="6"/>
    </row>
    <row r="312" spans="2:10" customFormat="1" x14ac:dyDescent="0.2">
      <c r="B312" s="6"/>
      <c r="C312" s="6"/>
      <c r="D312" s="6"/>
      <c r="E312" s="6"/>
      <c r="F312" s="6"/>
      <c r="G312" s="6"/>
      <c r="H312" s="6"/>
      <c r="I312" s="6"/>
      <c r="J312" s="6"/>
    </row>
    <row r="313" spans="2:10" customFormat="1" x14ac:dyDescent="0.2">
      <c r="B313" s="6"/>
      <c r="C313" s="6"/>
      <c r="D313" s="6"/>
      <c r="E313" s="6"/>
      <c r="F313" s="6"/>
      <c r="G313" s="6"/>
      <c r="H313" s="6"/>
      <c r="I313" s="6"/>
      <c r="J313" s="6"/>
    </row>
    <row r="314" spans="2:10" customFormat="1" x14ac:dyDescent="0.2">
      <c r="B314" s="6"/>
      <c r="C314" s="6"/>
      <c r="D314" s="6"/>
      <c r="E314" s="6"/>
      <c r="F314" s="6"/>
      <c r="G314" s="6"/>
      <c r="H314" s="6"/>
      <c r="I314" s="6"/>
      <c r="J314" s="6"/>
    </row>
    <row r="315" spans="2:10" customFormat="1" x14ac:dyDescent="0.2">
      <c r="B315" s="6"/>
      <c r="C315" s="6"/>
      <c r="D315" s="6"/>
      <c r="E315" s="6"/>
      <c r="F315" s="6"/>
      <c r="G315" s="6"/>
      <c r="H315" s="6"/>
      <c r="I315" s="6"/>
      <c r="J315" s="6"/>
    </row>
    <row r="316" spans="2:10" customFormat="1" x14ac:dyDescent="0.2">
      <c r="B316" s="6"/>
      <c r="C316" s="6"/>
      <c r="D316" s="6"/>
      <c r="E316" s="6"/>
      <c r="F316" s="6"/>
      <c r="G316" s="6"/>
      <c r="H316" s="6"/>
      <c r="I316" s="6"/>
      <c r="J316" s="6"/>
    </row>
    <row r="317" spans="2:10" customFormat="1" x14ac:dyDescent="0.2">
      <c r="B317" s="6"/>
      <c r="C317" s="6"/>
      <c r="D317" s="6"/>
      <c r="E317" s="6"/>
      <c r="F317" s="6"/>
      <c r="G317" s="6"/>
      <c r="H317" s="6"/>
      <c r="I317" s="6"/>
      <c r="J317" s="6"/>
    </row>
    <row r="318" spans="2:10" customFormat="1" x14ac:dyDescent="0.2">
      <c r="B318" s="6"/>
      <c r="C318" s="6"/>
      <c r="D318" s="6"/>
      <c r="E318" s="6"/>
      <c r="F318" s="6"/>
      <c r="G318" s="6"/>
      <c r="H318" s="6"/>
      <c r="I318" s="6"/>
      <c r="J318" s="6"/>
    </row>
    <row r="319" spans="2:10" customFormat="1" x14ac:dyDescent="0.2">
      <c r="B319" s="6"/>
      <c r="C319" s="6"/>
      <c r="D319" s="6"/>
      <c r="E319" s="6"/>
      <c r="F319" s="6"/>
      <c r="G319" s="6"/>
      <c r="H319" s="6"/>
      <c r="I319" s="6"/>
      <c r="J319" s="6"/>
    </row>
    <row r="320" spans="2:10" customFormat="1" x14ac:dyDescent="0.2">
      <c r="B320" s="6"/>
      <c r="C320" s="6"/>
      <c r="D320" s="6"/>
      <c r="E320" s="6"/>
      <c r="F320" s="6"/>
      <c r="G320" s="6"/>
      <c r="H320" s="6"/>
      <c r="I320" s="6"/>
      <c r="J320" s="6"/>
    </row>
    <row r="321" spans="2:10" customFormat="1" x14ac:dyDescent="0.2">
      <c r="B321" s="6"/>
      <c r="C321" s="6"/>
      <c r="D321" s="6"/>
      <c r="E321" s="6"/>
      <c r="F321" s="6"/>
      <c r="G321" s="6"/>
      <c r="H321" s="6"/>
      <c r="I321" s="6"/>
      <c r="J321" s="6"/>
    </row>
    <row r="322" spans="2:10" customFormat="1" x14ac:dyDescent="0.2">
      <c r="B322" s="6"/>
      <c r="C322" s="6"/>
      <c r="D322" s="6"/>
      <c r="E322" s="6"/>
      <c r="F322" s="6"/>
      <c r="G322" s="6"/>
      <c r="H322" s="6"/>
      <c r="I322" s="6"/>
      <c r="J322" s="6"/>
    </row>
    <row r="323" spans="2:10" customFormat="1" x14ac:dyDescent="0.2">
      <c r="B323" s="6"/>
      <c r="C323" s="6"/>
      <c r="D323" s="6"/>
      <c r="E323" s="6"/>
      <c r="F323" s="6"/>
      <c r="G323" s="6"/>
      <c r="H323" s="6"/>
      <c r="I323" s="6"/>
      <c r="J323" s="6"/>
    </row>
    <row r="324" spans="2:10" customFormat="1" x14ac:dyDescent="0.2">
      <c r="B324" s="6"/>
      <c r="C324" s="6"/>
      <c r="D324" s="6"/>
      <c r="E324" s="6"/>
      <c r="F324" s="6"/>
      <c r="G324" s="6"/>
      <c r="H324" s="6"/>
      <c r="I324" s="6"/>
      <c r="J324" s="6"/>
    </row>
    <row r="325" spans="2:10" customFormat="1" x14ac:dyDescent="0.2">
      <c r="B325" s="6"/>
      <c r="C325" s="6"/>
      <c r="D325" s="6"/>
      <c r="E325" s="6"/>
      <c r="F325" s="6"/>
      <c r="G325" s="6"/>
      <c r="H325" s="6"/>
      <c r="I325" s="6"/>
      <c r="J325" s="6"/>
    </row>
    <row r="326" spans="2:10" customFormat="1" x14ac:dyDescent="0.2">
      <c r="B326" s="6"/>
      <c r="C326" s="6"/>
      <c r="D326" s="6"/>
      <c r="E326" s="6"/>
      <c r="F326" s="6"/>
      <c r="G326" s="6"/>
      <c r="H326" s="6"/>
      <c r="I326" s="6"/>
      <c r="J326" s="6"/>
    </row>
    <row r="327" spans="2:10" customFormat="1" x14ac:dyDescent="0.2">
      <c r="B327" s="6"/>
      <c r="C327" s="6"/>
      <c r="D327" s="6"/>
      <c r="E327" s="6"/>
      <c r="F327" s="6"/>
      <c r="G327" s="6"/>
      <c r="H327" s="6"/>
      <c r="I327" s="6"/>
      <c r="J327" s="6"/>
    </row>
    <row r="328" spans="2:10" customFormat="1" x14ac:dyDescent="0.2">
      <c r="B328" s="6"/>
      <c r="C328" s="6"/>
      <c r="D328" s="6"/>
      <c r="E328" s="6"/>
      <c r="F328" s="6"/>
      <c r="G328" s="6"/>
      <c r="H328" s="6"/>
      <c r="I328" s="6"/>
      <c r="J328" s="6"/>
    </row>
    <row r="329" spans="2:10" customFormat="1" x14ac:dyDescent="0.2">
      <c r="B329" s="6"/>
      <c r="C329" s="6"/>
      <c r="D329" s="6"/>
      <c r="E329" s="6"/>
      <c r="F329" s="6"/>
      <c r="G329" s="6"/>
      <c r="H329" s="6"/>
      <c r="I329" s="6"/>
      <c r="J329" s="6"/>
    </row>
    <row r="330" spans="2:10" customFormat="1" x14ac:dyDescent="0.2">
      <c r="B330" s="6"/>
      <c r="C330" s="6"/>
      <c r="D330" s="6"/>
      <c r="E330" s="6"/>
      <c r="F330" s="6"/>
      <c r="G330" s="6"/>
      <c r="H330" s="6"/>
      <c r="I330" s="6"/>
      <c r="J330" s="6"/>
    </row>
    <row r="331" spans="2:10" customFormat="1" x14ac:dyDescent="0.2">
      <c r="B331" s="6"/>
      <c r="C331" s="6"/>
      <c r="D331" s="6"/>
      <c r="E331" s="6"/>
      <c r="F331" s="6"/>
      <c r="G331" s="6"/>
      <c r="H331" s="6"/>
      <c r="I331" s="6"/>
      <c r="J331" s="6"/>
    </row>
    <row r="332" spans="2:10" customFormat="1" x14ac:dyDescent="0.2">
      <c r="B332" s="6"/>
      <c r="C332" s="6"/>
      <c r="D332" s="6"/>
      <c r="E332" s="6"/>
      <c r="F332" s="6"/>
      <c r="G332" s="6"/>
      <c r="H332" s="6"/>
      <c r="I332" s="6"/>
      <c r="J332" s="6"/>
    </row>
    <row r="333" spans="2:10" customFormat="1" x14ac:dyDescent="0.2">
      <c r="B333" s="6"/>
      <c r="C333" s="6"/>
      <c r="D333" s="6"/>
      <c r="E333" s="6"/>
      <c r="F333" s="6"/>
      <c r="G333" s="6"/>
      <c r="H333" s="6"/>
      <c r="I333" s="6"/>
      <c r="J333" s="6"/>
    </row>
    <row r="334" spans="2:10" customFormat="1" x14ac:dyDescent="0.2">
      <c r="B334" s="6"/>
      <c r="C334" s="6"/>
      <c r="D334" s="6"/>
      <c r="E334" s="6"/>
      <c r="F334" s="6"/>
      <c r="G334" s="6"/>
      <c r="H334" s="6"/>
      <c r="I334" s="6"/>
      <c r="J334" s="6"/>
    </row>
    <row r="335" spans="2:10" customFormat="1" x14ac:dyDescent="0.2">
      <c r="B335" s="6"/>
      <c r="C335" s="6"/>
      <c r="D335" s="6"/>
      <c r="E335" s="6"/>
      <c r="F335" s="6"/>
      <c r="G335" s="6"/>
      <c r="H335" s="6"/>
      <c r="I335" s="6"/>
      <c r="J335" s="6"/>
    </row>
    <row r="336" spans="2:10" customFormat="1" x14ac:dyDescent="0.2">
      <c r="B336" s="6"/>
      <c r="C336" s="6"/>
      <c r="D336" s="6"/>
      <c r="E336" s="6"/>
      <c r="F336" s="6"/>
      <c r="G336" s="6"/>
      <c r="H336" s="6"/>
      <c r="I336" s="6"/>
      <c r="J336" s="6"/>
    </row>
    <row r="337" spans="2:10" customFormat="1" x14ac:dyDescent="0.2">
      <c r="B337" s="6"/>
      <c r="C337" s="6"/>
      <c r="D337" s="6"/>
      <c r="E337" s="6"/>
      <c r="F337" s="6"/>
      <c r="G337" s="6"/>
      <c r="H337" s="6"/>
      <c r="I337" s="6"/>
      <c r="J337" s="6"/>
    </row>
    <row r="338" spans="2:10" customFormat="1" x14ac:dyDescent="0.2">
      <c r="B338" s="6"/>
      <c r="C338" s="6"/>
      <c r="D338" s="6"/>
      <c r="E338" s="6"/>
      <c r="F338" s="6"/>
      <c r="G338" s="6"/>
      <c r="H338" s="6"/>
      <c r="I338" s="6"/>
      <c r="J338" s="6"/>
    </row>
    <row r="339" spans="2:10" customFormat="1" x14ac:dyDescent="0.2">
      <c r="B339" s="6"/>
      <c r="C339" s="6"/>
      <c r="D339" s="6"/>
      <c r="E339" s="6"/>
      <c r="F339" s="6"/>
      <c r="G339" s="6"/>
      <c r="H339" s="6"/>
      <c r="I339" s="6"/>
      <c r="J339" s="6"/>
    </row>
    <row r="340" spans="2:10" customFormat="1" x14ac:dyDescent="0.2">
      <c r="B340" s="6"/>
      <c r="C340" s="6"/>
      <c r="D340" s="6"/>
      <c r="E340" s="6"/>
      <c r="F340" s="6"/>
      <c r="G340" s="6"/>
      <c r="H340" s="6"/>
      <c r="I340" s="6"/>
      <c r="J340" s="6"/>
    </row>
    <row r="341" spans="2:10" customFormat="1" x14ac:dyDescent="0.2">
      <c r="B341" s="6"/>
      <c r="C341" s="6"/>
      <c r="D341" s="6"/>
      <c r="E341" s="6"/>
      <c r="F341" s="6"/>
      <c r="G341" s="6"/>
      <c r="H341" s="6"/>
      <c r="I341" s="6"/>
      <c r="J341" s="6"/>
    </row>
    <row r="342" spans="2:10" customFormat="1" x14ac:dyDescent="0.2">
      <c r="B342" s="6"/>
      <c r="C342" s="6"/>
      <c r="D342" s="6"/>
      <c r="E342" s="6"/>
      <c r="F342" s="6"/>
      <c r="G342" s="6"/>
      <c r="H342" s="6"/>
      <c r="I342" s="6"/>
      <c r="J342" s="6"/>
    </row>
    <row r="343" spans="2:10" customFormat="1" x14ac:dyDescent="0.2">
      <c r="B343" s="6"/>
      <c r="C343" s="6"/>
      <c r="D343" s="6"/>
      <c r="E343" s="6"/>
      <c r="F343" s="6"/>
      <c r="G343" s="6"/>
      <c r="H343" s="6"/>
      <c r="I343" s="6"/>
      <c r="J343" s="6"/>
    </row>
    <row r="344" spans="2:10" customFormat="1" x14ac:dyDescent="0.2">
      <c r="B344" s="6"/>
      <c r="C344" s="6"/>
      <c r="D344" s="6"/>
      <c r="E344" s="6"/>
      <c r="F344" s="6"/>
      <c r="G344" s="6"/>
      <c r="H344" s="6"/>
      <c r="I344" s="6"/>
      <c r="J344" s="6"/>
    </row>
    <row r="345" spans="2:10" customFormat="1" x14ac:dyDescent="0.2">
      <c r="B345" s="6"/>
      <c r="C345" s="6"/>
      <c r="D345" s="6"/>
      <c r="E345" s="6"/>
      <c r="F345" s="6"/>
      <c r="G345" s="6"/>
      <c r="H345" s="6"/>
      <c r="I345" s="6"/>
      <c r="J345" s="6"/>
    </row>
    <row r="346" spans="2:10" customFormat="1" x14ac:dyDescent="0.2">
      <c r="B346" s="6"/>
      <c r="C346" s="6"/>
      <c r="D346" s="6"/>
      <c r="E346" s="6"/>
      <c r="F346" s="6"/>
      <c r="G346" s="6"/>
      <c r="H346" s="6"/>
      <c r="I346" s="6"/>
      <c r="J346" s="6"/>
    </row>
    <row r="347" spans="2:10" customFormat="1" x14ac:dyDescent="0.2">
      <c r="B347" s="6"/>
      <c r="C347" s="6"/>
      <c r="D347" s="6"/>
      <c r="E347" s="6"/>
      <c r="F347" s="6"/>
      <c r="G347" s="6"/>
      <c r="H347" s="6"/>
      <c r="I347" s="6"/>
      <c r="J347" s="6"/>
    </row>
    <row r="348" spans="2:10" customFormat="1" x14ac:dyDescent="0.2">
      <c r="B348" s="6"/>
      <c r="C348" s="6"/>
      <c r="D348" s="6"/>
      <c r="E348" s="6"/>
      <c r="F348" s="6"/>
      <c r="G348" s="6"/>
      <c r="H348" s="6"/>
      <c r="I348" s="6"/>
      <c r="J348" s="6"/>
    </row>
    <row r="349" spans="2:10" customFormat="1" x14ac:dyDescent="0.2">
      <c r="B349" s="6"/>
      <c r="C349" s="6"/>
      <c r="D349" s="6"/>
      <c r="E349" s="6"/>
      <c r="F349" s="6"/>
      <c r="G349" s="6"/>
      <c r="H349" s="6"/>
      <c r="I349" s="6"/>
      <c r="J349" s="6"/>
    </row>
    <row r="350" spans="2:10" customFormat="1" x14ac:dyDescent="0.2">
      <c r="B350" s="6"/>
      <c r="C350" s="6"/>
      <c r="D350" s="6"/>
      <c r="E350" s="6"/>
      <c r="F350" s="6"/>
      <c r="G350" s="6"/>
      <c r="H350" s="6"/>
      <c r="I350" s="6"/>
      <c r="J350" s="6"/>
    </row>
    <row r="351" spans="2:10" customFormat="1" x14ac:dyDescent="0.2">
      <c r="B351" s="6"/>
      <c r="C351" s="6"/>
      <c r="D351" s="6"/>
      <c r="E351" s="6"/>
      <c r="F351" s="6"/>
      <c r="G351" s="6"/>
      <c r="H351" s="6"/>
      <c r="I351" s="6"/>
      <c r="J351" s="6"/>
    </row>
    <row r="352" spans="2:10" customFormat="1" x14ac:dyDescent="0.2">
      <c r="B352" s="6"/>
      <c r="C352" s="6"/>
      <c r="D352" s="6"/>
      <c r="E352" s="6"/>
      <c r="F352" s="6"/>
      <c r="G352" s="6"/>
      <c r="H352" s="6"/>
      <c r="I352" s="6"/>
      <c r="J352" s="6"/>
    </row>
    <row r="353" spans="2:10" customFormat="1" x14ac:dyDescent="0.2">
      <c r="B353" s="6"/>
      <c r="C353" s="6"/>
      <c r="D353" s="6"/>
      <c r="E353" s="6"/>
      <c r="F353" s="6"/>
      <c r="G353" s="6"/>
      <c r="H353" s="6"/>
      <c r="I353" s="6"/>
      <c r="J353" s="6"/>
    </row>
    <row r="354" spans="2:10" customFormat="1" x14ac:dyDescent="0.2">
      <c r="B354" s="6"/>
      <c r="C354" s="6"/>
      <c r="D354" s="6"/>
      <c r="E354" s="6"/>
      <c r="F354" s="6"/>
      <c r="G354" s="6"/>
      <c r="H354" s="6"/>
      <c r="I354" s="6"/>
      <c r="J354" s="6"/>
    </row>
    <row r="355" spans="2:10" customFormat="1" x14ac:dyDescent="0.2">
      <c r="B355" s="6"/>
      <c r="C355" s="6"/>
      <c r="D355" s="6"/>
      <c r="E355" s="6"/>
      <c r="F355" s="6"/>
      <c r="G355" s="6"/>
      <c r="H355" s="6"/>
      <c r="I355" s="6"/>
      <c r="J355" s="6"/>
    </row>
    <row r="356" spans="2:10" customFormat="1" x14ac:dyDescent="0.2">
      <c r="B356" s="6"/>
      <c r="C356" s="6"/>
      <c r="D356" s="6"/>
      <c r="E356" s="6"/>
      <c r="F356" s="6"/>
      <c r="G356" s="6"/>
      <c r="H356" s="6"/>
      <c r="I356" s="6"/>
      <c r="J356" s="6"/>
    </row>
    <row r="357" spans="2:10" customFormat="1" x14ac:dyDescent="0.2">
      <c r="B357" s="6"/>
      <c r="C357" s="6"/>
      <c r="D357" s="6"/>
      <c r="E357" s="6"/>
      <c r="F357" s="6"/>
      <c r="G357" s="6"/>
      <c r="H357" s="6"/>
      <c r="I357" s="6"/>
      <c r="J357" s="6"/>
    </row>
    <row r="358" spans="2:10" customFormat="1" x14ac:dyDescent="0.2">
      <c r="B358" s="6"/>
      <c r="C358" s="6"/>
      <c r="D358" s="6"/>
      <c r="E358" s="6"/>
      <c r="F358" s="6"/>
      <c r="G358" s="6"/>
      <c r="H358" s="6"/>
      <c r="I358" s="6"/>
      <c r="J358" s="6"/>
    </row>
    <row r="359" spans="2:10" customFormat="1" x14ac:dyDescent="0.2">
      <c r="B359" s="6"/>
      <c r="C359" s="6"/>
      <c r="D359" s="6"/>
      <c r="E359" s="6"/>
      <c r="F359" s="6"/>
      <c r="G359" s="6"/>
      <c r="H359" s="6"/>
      <c r="I359" s="6"/>
      <c r="J359" s="6"/>
    </row>
    <row r="360" spans="2:10" customFormat="1" x14ac:dyDescent="0.2">
      <c r="B360" s="6"/>
      <c r="C360" s="6"/>
      <c r="D360" s="6"/>
      <c r="E360" s="6"/>
      <c r="F360" s="6"/>
      <c r="G360" s="6"/>
      <c r="H360" s="6"/>
      <c r="I360" s="6"/>
      <c r="J360" s="6"/>
    </row>
    <row r="361" spans="2:10" customFormat="1" x14ac:dyDescent="0.2">
      <c r="B361" s="6"/>
      <c r="C361" s="6"/>
      <c r="D361" s="6"/>
      <c r="E361" s="6"/>
      <c r="F361" s="6"/>
      <c r="G361" s="6"/>
      <c r="H361" s="6"/>
      <c r="I361" s="6"/>
      <c r="J361" s="6"/>
    </row>
    <row r="362" spans="2:10" customFormat="1" x14ac:dyDescent="0.2">
      <c r="B362" s="6"/>
      <c r="C362" s="6"/>
      <c r="D362" s="6"/>
      <c r="E362" s="6"/>
      <c r="F362" s="6"/>
      <c r="G362" s="6"/>
      <c r="H362" s="6"/>
      <c r="I362" s="6"/>
      <c r="J362" s="6"/>
    </row>
    <row r="363" spans="2:10" customFormat="1" x14ac:dyDescent="0.2">
      <c r="B363" s="6"/>
      <c r="C363" s="6"/>
      <c r="D363" s="6"/>
      <c r="E363" s="6"/>
      <c r="F363" s="6"/>
      <c r="G363" s="6"/>
      <c r="H363" s="6"/>
      <c r="I363" s="6"/>
      <c r="J363" s="6"/>
    </row>
    <row r="364" spans="2:10" customFormat="1" x14ac:dyDescent="0.2">
      <c r="B364" s="6"/>
      <c r="C364" s="6"/>
      <c r="D364" s="6"/>
      <c r="E364" s="6"/>
      <c r="F364" s="6"/>
      <c r="G364" s="6"/>
      <c r="H364" s="6"/>
      <c r="I364" s="6"/>
      <c r="J364" s="6"/>
    </row>
    <row r="365" spans="2:10" customFormat="1" x14ac:dyDescent="0.2">
      <c r="B365" s="6"/>
      <c r="C365" s="6"/>
      <c r="D365" s="6"/>
      <c r="E365" s="6"/>
      <c r="F365" s="6"/>
      <c r="G365" s="6"/>
      <c r="H365" s="6"/>
      <c r="I365" s="6"/>
      <c r="J365" s="6"/>
    </row>
    <row r="366" spans="2:10" customFormat="1" x14ac:dyDescent="0.2">
      <c r="B366" s="6"/>
      <c r="C366" s="6"/>
      <c r="D366" s="6"/>
      <c r="E366" s="6"/>
      <c r="F366" s="6"/>
      <c r="G366" s="6"/>
      <c r="H366" s="6"/>
      <c r="I366" s="6"/>
      <c r="J366" s="6"/>
    </row>
    <row r="367" spans="2:10" customFormat="1" x14ac:dyDescent="0.2">
      <c r="B367" s="6"/>
      <c r="C367" s="6"/>
      <c r="D367" s="6"/>
      <c r="E367" s="6"/>
      <c r="F367" s="6"/>
      <c r="G367" s="6"/>
      <c r="H367" s="6"/>
      <c r="I367" s="6"/>
      <c r="J367" s="6"/>
    </row>
    <row r="368" spans="2:10" customFormat="1" x14ac:dyDescent="0.2">
      <c r="B368" s="6"/>
      <c r="C368" s="6"/>
      <c r="D368" s="6"/>
      <c r="E368" s="6"/>
      <c r="F368" s="6"/>
      <c r="G368" s="6"/>
      <c r="H368" s="6"/>
      <c r="I368" s="6"/>
      <c r="J368" s="6"/>
    </row>
    <row r="369" spans="2:10" customFormat="1" x14ac:dyDescent="0.2">
      <c r="B369" s="6"/>
      <c r="C369" s="6"/>
      <c r="D369" s="6"/>
      <c r="E369" s="6"/>
      <c r="F369" s="6"/>
      <c r="G369" s="6"/>
      <c r="H369" s="6"/>
      <c r="I369" s="6"/>
      <c r="J369" s="6"/>
    </row>
    <row r="370" spans="2:10" customFormat="1" x14ac:dyDescent="0.2">
      <c r="B370" s="6"/>
      <c r="C370" s="6"/>
      <c r="D370" s="6"/>
      <c r="E370" s="6"/>
      <c r="F370" s="6"/>
      <c r="G370" s="6"/>
      <c r="H370" s="6"/>
      <c r="I370" s="6"/>
      <c r="J370" s="6"/>
    </row>
    <row r="371" spans="2:10" customFormat="1" x14ac:dyDescent="0.2">
      <c r="B371" s="6"/>
      <c r="C371" s="6"/>
      <c r="D371" s="6"/>
      <c r="E371" s="6"/>
      <c r="F371" s="6"/>
      <c r="G371" s="6"/>
      <c r="H371" s="6"/>
      <c r="I371" s="6"/>
      <c r="J371" s="6"/>
    </row>
    <row r="372" spans="2:10" customFormat="1" x14ac:dyDescent="0.2">
      <c r="B372" s="6"/>
      <c r="C372" s="6"/>
      <c r="D372" s="6"/>
      <c r="E372" s="6"/>
      <c r="F372" s="6"/>
      <c r="G372" s="6"/>
      <c r="H372" s="6"/>
      <c r="I372" s="6"/>
      <c r="J372" s="6"/>
    </row>
    <row r="373" spans="2:10" customFormat="1" x14ac:dyDescent="0.2">
      <c r="B373" s="6"/>
      <c r="C373" s="6"/>
      <c r="D373" s="6"/>
      <c r="E373" s="6"/>
      <c r="F373" s="6"/>
      <c r="G373" s="6"/>
      <c r="H373" s="6"/>
      <c r="I373" s="6"/>
      <c r="J373" s="6"/>
    </row>
    <row r="374" spans="2:10" customFormat="1" x14ac:dyDescent="0.2">
      <c r="B374" s="6"/>
      <c r="C374" s="6"/>
      <c r="D374" s="6"/>
      <c r="E374" s="6"/>
      <c r="F374" s="6"/>
      <c r="G374" s="6"/>
      <c r="H374" s="6"/>
      <c r="I374" s="6"/>
      <c r="J374" s="6"/>
    </row>
    <row r="375" spans="2:10" customFormat="1" x14ac:dyDescent="0.2">
      <c r="B375" s="6"/>
      <c r="C375" s="6"/>
      <c r="D375" s="6"/>
      <c r="E375" s="6"/>
      <c r="F375" s="6"/>
      <c r="G375" s="6"/>
      <c r="H375" s="6"/>
      <c r="I375" s="6"/>
      <c r="J375" s="6"/>
    </row>
    <row r="376" spans="2:10" customFormat="1" x14ac:dyDescent="0.2">
      <c r="B376" s="6"/>
      <c r="C376" s="6"/>
      <c r="D376" s="6"/>
      <c r="E376" s="6"/>
      <c r="F376" s="6"/>
      <c r="G376" s="6"/>
      <c r="H376" s="6"/>
      <c r="I376" s="6"/>
      <c r="J376" s="6"/>
    </row>
    <row r="377" spans="2:10" customFormat="1" x14ac:dyDescent="0.2">
      <c r="B377" s="6"/>
      <c r="C377" s="6"/>
      <c r="D377" s="6"/>
      <c r="E377" s="6"/>
      <c r="F377" s="6"/>
      <c r="G377" s="6"/>
      <c r="H377" s="6"/>
      <c r="I377" s="6"/>
      <c r="J377" s="6"/>
    </row>
    <row r="378" spans="2:10" customFormat="1" x14ac:dyDescent="0.2">
      <c r="B378" s="6"/>
      <c r="C378" s="6"/>
      <c r="D378" s="6"/>
      <c r="E378" s="6"/>
      <c r="F378" s="6"/>
      <c r="G378" s="6"/>
      <c r="H378" s="6"/>
      <c r="I378" s="6"/>
      <c r="J378" s="6"/>
    </row>
    <row r="379" spans="2:10" customFormat="1" x14ac:dyDescent="0.2">
      <c r="B379" s="6"/>
      <c r="C379" s="6"/>
      <c r="D379" s="6"/>
      <c r="E379" s="6"/>
      <c r="F379" s="6"/>
      <c r="G379" s="6"/>
      <c r="H379" s="6"/>
      <c r="I379" s="6"/>
      <c r="J379" s="6"/>
    </row>
    <row r="380" spans="2:10" customFormat="1" x14ac:dyDescent="0.2">
      <c r="B380" s="6"/>
      <c r="C380" s="6"/>
      <c r="D380" s="6"/>
      <c r="E380" s="6"/>
      <c r="F380" s="6"/>
      <c r="G380" s="6"/>
      <c r="H380" s="6"/>
      <c r="I380" s="6"/>
      <c r="J380" s="6"/>
    </row>
    <row r="381" spans="2:10" customFormat="1" x14ac:dyDescent="0.2">
      <c r="B381" s="6"/>
      <c r="C381" s="6"/>
      <c r="D381" s="6"/>
      <c r="E381" s="6"/>
      <c r="F381" s="6"/>
      <c r="G381" s="6"/>
      <c r="H381" s="6"/>
      <c r="I381" s="6"/>
      <c r="J381" s="6"/>
    </row>
    <row r="382" spans="2:10" customFormat="1" x14ac:dyDescent="0.2">
      <c r="B382" s="6"/>
      <c r="C382" s="6"/>
      <c r="D382" s="6"/>
      <c r="E382" s="6"/>
      <c r="F382" s="6"/>
      <c r="G382" s="6"/>
      <c r="H382" s="6"/>
      <c r="I382" s="6"/>
      <c r="J382" s="6"/>
    </row>
    <row r="383" spans="2:10" customFormat="1" ht="13" x14ac:dyDescent="0.15"/>
    <row r="384" spans="2:10" customFormat="1" ht="13" x14ac:dyDescent="0.15"/>
    <row r="385" customFormat="1" ht="13" x14ac:dyDescent="0.15"/>
    <row r="386" customFormat="1" ht="13" x14ac:dyDescent="0.15"/>
    <row r="387" customFormat="1" ht="13" x14ac:dyDescent="0.15"/>
    <row r="388" customFormat="1" ht="13" x14ac:dyDescent="0.15"/>
    <row r="389" customFormat="1" ht="13" x14ac:dyDescent="0.15"/>
    <row r="390" customFormat="1" ht="13" x14ac:dyDescent="0.15"/>
    <row r="391" customFormat="1" ht="13" x14ac:dyDescent="0.15"/>
    <row r="392" customFormat="1" ht="13" x14ac:dyDescent="0.15"/>
    <row r="393" customFormat="1" ht="13" x14ac:dyDescent="0.15"/>
    <row r="394" customFormat="1" ht="13" x14ac:dyDescent="0.15"/>
    <row r="395" customFormat="1" ht="13" x14ac:dyDescent="0.15"/>
    <row r="396" customFormat="1" ht="13" x14ac:dyDescent="0.15"/>
    <row r="397" customFormat="1" ht="13" x14ac:dyDescent="0.15"/>
    <row r="398" customFormat="1" ht="13" x14ac:dyDescent="0.15"/>
    <row r="399" customFormat="1" ht="13" x14ac:dyDescent="0.15"/>
    <row r="400" customFormat="1" ht="13" x14ac:dyDescent="0.15"/>
    <row r="401" customFormat="1" ht="13" x14ac:dyDescent="0.15"/>
    <row r="402" customFormat="1" ht="13" x14ac:dyDescent="0.15"/>
    <row r="403" customFormat="1" ht="13" x14ac:dyDescent="0.15"/>
    <row r="404" customFormat="1" ht="13" x14ac:dyDescent="0.15"/>
    <row r="405" customFormat="1" ht="13" x14ac:dyDescent="0.15"/>
    <row r="406" customFormat="1" ht="13" x14ac:dyDescent="0.15"/>
    <row r="407" customFormat="1" ht="13" x14ac:dyDescent="0.15"/>
    <row r="408" customFormat="1" ht="13" x14ac:dyDescent="0.15"/>
    <row r="409" customFormat="1" ht="13" x14ac:dyDescent="0.15"/>
    <row r="410" customFormat="1" ht="13" x14ac:dyDescent="0.15"/>
    <row r="411" customFormat="1" ht="13" x14ac:dyDescent="0.15"/>
    <row r="412" customFormat="1" ht="13" x14ac:dyDescent="0.15"/>
    <row r="413" customFormat="1" ht="13" x14ac:dyDescent="0.15"/>
    <row r="414" customFormat="1" ht="13" x14ac:dyDescent="0.15"/>
    <row r="415" customFormat="1" ht="13" x14ac:dyDescent="0.15"/>
    <row r="416" customFormat="1" ht="13" x14ac:dyDescent="0.15"/>
    <row r="417" customFormat="1" ht="13" x14ac:dyDescent="0.15"/>
    <row r="418" customFormat="1" ht="13" x14ac:dyDescent="0.15"/>
    <row r="419" customFormat="1" ht="13" x14ac:dyDescent="0.15"/>
    <row r="420" customFormat="1" ht="13" x14ac:dyDescent="0.15"/>
    <row r="421" customFormat="1" ht="13" x14ac:dyDescent="0.15"/>
    <row r="422" customFormat="1" ht="13" x14ac:dyDescent="0.15"/>
    <row r="423" customFormat="1" ht="13" x14ac:dyDescent="0.15"/>
    <row r="424" customFormat="1" ht="13" x14ac:dyDescent="0.15"/>
    <row r="425" customFormat="1" ht="13" x14ac:dyDescent="0.15"/>
    <row r="426" customFormat="1" ht="13" x14ac:dyDescent="0.15"/>
    <row r="427" customFormat="1" ht="13" x14ac:dyDescent="0.15"/>
    <row r="428" customFormat="1" ht="13" x14ac:dyDescent="0.15"/>
    <row r="429" customFormat="1" ht="13" x14ac:dyDescent="0.15"/>
    <row r="430" customFormat="1" ht="13" x14ac:dyDescent="0.15"/>
    <row r="431" customFormat="1" ht="13" x14ac:dyDescent="0.15"/>
    <row r="432" customFormat="1" ht="13" x14ac:dyDescent="0.15"/>
    <row r="433" customFormat="1" ht="13" x14ac:dyDescent="0.15"/>
    <row r="434" customFormat="1" ht="13" x14ac:dyDescent="0.15"/>
    <row r="435" customFormat="1" ht="13" x14ac:dyDescent="0.15"/>
    <row r="436" customFormat="1" ht="13" x14ac:dyDescent="0.15"/>
    <row r="437" customFormat="1" ht="13" x14ac:dyDescent="0.15"/>
    <row r="438" customFormat="1" ht="13" x14ac:dyDescent="0.15"/>
    <row r="439" customFormat="1" ht="13" x14ac:dyDescent="0.15"/>
    <row r="440" customFormat="1" ht="13" x14ac:dyDescent="0.15"/>
    <row r="441" customFormat="1" ht="13" x14ac:dyDescent="0.15"/>
    <row r="442" customFormat="1" ht="13" x14ac:dyDescent="0.15"/>
    <row r="443" customFormat="1" ht="13" x14ac:dyDescent="0.15"/>
    <row r="444" customFormat="1" ht="13" x14ac:dyDescent="0.15"/>
    <row r="445" customFormat="1" ht="13" x14ac:dyDescent="0.15"/>
    <row r="446" customFormat="1" ht="13" x14ac:dyDescent="0.15"/>
    <row r="447" customFormat="1" ht="13" x14ac:dyDescent="0.15"/>
    <row r="448" customFormat="1" ht="13" x14ac:dyDescent="0.15"/>
    <row r="449" customFormat="1" ht="13" x14ac:dyDescent="0.15"/>
    <row r="450" customFormat="1" ht="13" x14ac:dyDescent="0.15"/>
    <row r="451" customFormat="1" ht="13" x14ac:dyDescent="0.15"/>
    <row r="452" customFormat="1" ht="13" x14ac:dyDescent="0.15"/>
    <row r="453" customFormat="1" ht="13" x14ac:dyDescent="0.15"/>
    <row r="454" customFormat="1" ht="13" x14ac:dyDescent="0.15"/>
    <row r="455" customFormat="1" ht="13" x14ac:dyDescent="0.15"/>
    <row r="456" customFormat="1" ht="13" x14ac:dyDescent="0.15"/>
    <row r="457" customFormat="1" ht="13" x14ac:dyDescent="0.15"/>
    <row r="458" customFormat="1" ht="13" x14ac:dyDescent="0.15"/>
    <row r="459" customFormat="1" ht="13" x14ac:dyDescent="0.15"/>
    <row r="460" customFormat="1" ht="13" x14ac:dyDescent="0.15"/>
    <row r="461" customFormat="1" ht="13" x14ac:dyDescent="0.15"/>
    <row r="462" customFormat="1" ht="13" x14ac:dyDescent="0.15"/>
    <row r="463" customFormat="1" ht="13" x14ac:dyDescent="0.15"/>
    <row r="464" customFormat="1" ht="13" x14ac:dyDescent="0.15"/>
    <row r="465" customFormat="1" ht="13" x14ac:dyDescent="0.15"/>
    <row r="466" customFormat="1" ht="13" x14ac:dyDescent="0.15"/>
    <row r="467" customFormat="1" ht="13" x14ac:dyDescent="0.15"/>
    <row r="468" customFormat="1" ht="13" x14ac:dyDescent="0.15"/>
    <row r="469" customFormat="1" ht="13" x14ac:dyDescent="0.15"/>
    <row r="470" customFormat="1" ht="13" x14ac:dyDescent="0.15"/>
    <row r="471" customFormat="1" ht="13" x14ac:dyDescent="0.15"/>
    <row r="472" customFormat="1" ht="13" x14ac:dyDescent="0.15"/>
    <row r="473" customFormat="1" ht="13" x14ac:dyDescent="0.15"/>
    <row r="474" customFormat="1" ht="13" x14ac:dyDescent="0.15"/>
    <row r="475" customFormat="1" ht="13" x14ac:dyDescent="0.15"/>
    <row r="476" customFormat="1" ht="13" x14ac:dyDescent="0.15"/>
    <row r="477" customFormat="1" ht="13" x14ac:dyDescent="0.15"/>
    <row r="478" customFormat="1" ht="13" x14ac:dyDescent="0.15"/>
    <row r="479" customFormat="1" ht="13" x14ac:dyDescent="0.15"/>
    <row r="480" customFormat="1" ht="13" x14ac:dyDescent="0.15"/>
    <row r="481" customFormat="1" ht="13" x14ac:dyDescent="0.15"/>
    <row r="482" customFormat="1" ht="13" x14ac:dyDescent="0.15"/>
    <row r="483" customFormat="1" ht="13" x14ac:dyDescent="0.15"/>
    <row r="484" customFormat="1" ht="13" x14ac:dyDescent="0.15"/>
    <row r="485" customFormat="1" ht="13" x14ac:dyDescent="0.15"/>
    <row r="486" customFormat="1" ht="13" x14ac:dyDescent="0.15"/>
    <row r="487" customFormat="1" ht="13" x14ac:dyDescent="0.15"/>
    <row r="488" customFormat="1" ht="13" x14ac:dyDescent="0.15"/>
    <row r="489" customFormat="1" ht="13" x14ac:dyDescent="0.15"/>
    <row r="490" customFormat="1" ht="13" x14ac:dyDescent="0.15"/>
    <row r="491" customFormat="1" ht="13" x14ac:dyDescent="0.15"/>
    <row r="492" customFormat="1" ht="13" x14ac:dyDescent="0.15"/>
    <row r="493" customFormat="1" ht="13" x14ac:dyDescent="0.15"/>
    <row r="494" customFormat="1" ht="13" x14ac:dyDescent="0.15"/>
    <row r="495" customFormat="1" ht="13" x14ac:dyDescent="0.15"/>
    <row r="496" customFormat="1" ht="13" x14ac:dyDescent="0.15"/>
    <row r="497" customFormat="1" ht="13" x14ac:dyDescent="0.15"/>
    <row r="498" customFormat="1" ht="13" x14ac:dyDescent="0.15"/>
    <row r="499" customFormat="1" ht="13" x14ac:dyDescent="0.15"/>
    <row r="500" customFormat="1" ht="13" x14ac:dyDescent="0.15"/>
    <row r="501" customFormat="1" ht="13" x14ac:dyDescent="0.15"/>
    <row r="502" customFormat="1" ht="13" x14ac:dyDescent="0.15"/>
    <row r="503" customFormat="1" ht="13" x14ac:dyDescent="0.15"/>
    <row r="504" customFormat="1" ht="13" x14ac:dyDescent="0.15"/>
    <row r="505" customFormat="1" ht="13" x14ac:dyDescent="0.15"/>
    <row r="506" customFormat="1" ht="13" x14ac:dyDescent="0.15"/>
    <row r="507" customFormat="1" ht="13" x14ac:dyDescent="0.15"/>
    <row r="508" customFormat="1" ht="13" x14ac:dyDescent="0.15"/>
    <row r="509" customFormat="1" ht="13" x14ac:dyDescent="0.15"/>
    <row r="510" customFormat="1" ht="13" x14ac:dyDescent="0.15"/>
    <row r="511" customFormat="1" ht="13" x14ac:dyDescent="0.15"/>
    <row r="512" customFormat="1" ht="13" x14ac:dyDescent="0.15"/>
    <row r="513" customFormat="1" ht="13" x14ac:dyDescent="0.15"/>
    <row r="514" customFormat="1" ht="13" x14ac:dyDescent="0.15"/>
    <row r="515" customFormat="1" ht="13" x14ac:dyDescent="0.15"/>
    <row r="516" customFormat="1" ht="13" x14ac:dyDescent="0.15"/>
    <row r="517" customFormat="1" ht="13" x14ac:dyDescent="0.15"/>
    <row r="518" customFormat="1" ht="13" x14ac:dyDescent="0.15"/>
    <row r="519" customFormat="1" ht="13" x14ac:dyDescent="0.15"/>
    <row r="520" customFormat="1" ht="13" x14ac:dyDescent="0.15"/>
    <row r="521" customFormat="1" ht="13" x14ac:dyDescent="0.15"/>
    <row r="522" customFormat="1" ht="13" x14ac:dyDescent="0.15"/>
    <row r="523" customFormat="1" ht="13" x14ac:dyDescent="0.15"/>
    <row r="524" customFormat="1" ht="13" x14ac:dyDescent="0.15"/>
    <row r="525" customFormat="1" ht="13" x14ac:dyDescent="0.15"/>
    <row r="526" customFormat="1" ht="13" x14ac:dyDescent="0.15"/>
    <row r="527" customFormat="1" ht="13" x14ac:dyDescent="0.15"/>
    <row r="528" customFormat="1" ht="13" x14ac:dyDescent="0.15"/>
    <row r="529" customFormat="1" ht="13" x14ac:dyDescent="0.15"/>
    <row r="530" customFormat="1" ht="13" x14ac:dyDescent="0.15"/>
    <row r="531" customFormat="1" ht="13" x14ac:dyDescent="0.15"/>
    <row r="532" customFormat="1" ht="13" x14ac:dyDescent="0.15"/>
    <row r="533" customFormat="1" ht="13" x14ac:dyDescent="0.15"/>
    <row r="534" customFormat="1" ht="13" x14ac:dyDescent="0.15"/>
    <row r="535" customFormat="1" ht="13" x14ac:dyDescent="0.15"/>
    <row r="536" customFormat="1" ht="13" x14ac:dyDescent="0.15"/>
    <row r="537" customFormat="1" ht="13" x14ac:dyDescent="0.15"/>
    <row r="538" customFormat="1" ht="13" x14ac:dyDescent="0.15"/>
    <row r="539" customFormat="1" ht="13" x14ac:dyDescent="0.15"/>
    <row r="540" customFormat="1" ht="13" x14ac:dyDescent="0.15"/>
    <row r="541" customFormat="1" ht="13" x14ac:dyDescent="0.15"/>
    <row r="542" customFormat="1" ht="13" x14ac:dyDescent="0.15"/>
    <row r="543" customFormat="1" ht="13" x14ac:dyDescent="0.15"/>
    <row r="544" customFormat="1" ht="13" x14ac:dyDescent="0.15"/>
    <row r="545" customFormat="1" ht="13" x14ac:dyDescent="0.15"/>
    <row r="546" customFormat="1" ht="13" x14ac:dyDescent="0.15"/>
    <row r="547" customFormat="1" ht="13" x14ac:dyDescent="0.15"/>
    <row r="548" customFormat="1" ht="13" x14ac:dyDescent="0.15"/>
    <row r="549" customFormat="1" ht="13" x14ac:dyDescent="0.15"/>
    <row r="550" customFormat="1" ht="13" x14ac:dyDescent="0.15"/>
    <row r="551" customFormat="1" ht="13" x14ac:dyDescent="0.15"/>
    <row r="552" customFormat="1" ht="13" x14ac:dyDescent="0.15"/>
    <row r="553" customFormat="1" ht="13" x14ac:dyDescent="0.15"/>
    <row r="554" customFormat="1" ht="13" x14ac:dyDescent="0.15"/>
    <row r="555" customFormat="1" ht="13" x14ac:dyDescent="0.15"/>
    <row r="556" customFormat="1" ht="13" x14ac:dyDescent="0.15"/>
    <row r="557" customFormat="1" ht="13" x14ac:dyDescent="0.15"/>
    <row r="558" customFormat="1" ht="13" x14ac:dyDescent="0.15"/>
    <row r="559" customFormat="1" ht="13" x14ac:dyDescent="0.15"/>
    <row r="560" customFormat="1" ht="13" x14ac:dyDescent="0.15"/>
    <row r="561" customFormat="1" ht="13" x14ac:dyDescent="0.15"/>
    <row r="562" customFormat="1" ht="13" x14ac:dyDescent="0.15"/>
    <row r="563" customFormat="1" ht="13" x14ac:dyDescent="0.15"/>
    <row r="564" customFormat="1" ht="13" x14ac:dyDescent="0.15"/>
    <row r="565" customFormat="1" ht="13" x14ac:dyDescent="0.15"/>
    <row r="566" customFormat="1" ht="13" x14ac:dyDescent="0.15"/>
    <row r="567" customFormat="1" ht="13" x14ac:dyDescent="0.15"/>
    <row r="568" customFormat="1" ht="13" x14ac:dyDescent="0.15"/>
    <row r="569" customFormat="1" ht="13" x14ac:dyDescent="0.15"/>
    <row r="570" customFormat="1" ht="13" x14ac:dyDescent="0.15"/>
    <row r="571" customFormat="1" ht="13" x14ac:dyDescent="0.15"/>
    <row r="572" customFormat="1" ht="13" x14ac:dyDescent="0.15"/>
    <row r="573" customFormat="1" ht="13" x14ac:dyDescent="0.15"/>
    <row r="574" customFormat="1" ht="13" x14ac:dyDescent="0.15"/>
    <row r="575" customFormat="1" ht="13" x14ac:dyDescent="0.15"/>
    <row r="576" customFormat="1" ht="13" x14ac:dyDescent="0.15"/>
    <row r="577" customFormat="1" ht="13" x14ac:dyDescent="0.15"/>
    <row r="578" customFormat="1" ht="13" x14ac:dyDescent="0.15"/>
    <row r="579" customFormat="1" ht="13" x14ac:dyDescent="0.15"/>
    <row r="580" customFormat="1" ht="13" x14ac:dyDescent="0.15"/>
    <row r="581" customFormat="1" ht="13" x14ac:dyDescent="0.15"/>
    <row r="582" customFormat="1" ht="13" x14ac:dyDescent="0.15"/>
    <row r="583" customFormat="1" ht="13" x14ac:dyDescent="0.15"/>
    <row r="584" customFormat="1" ht="13" x14ac:dyDescent="0.15"/>
    <row r="585" customFormat="1" ht="13" x14ac:dyDescent="0.15"/>
    <row r="586" customFormat="1" ht="13" x14ac:dyDescent="0.15"/>
    <row r="587" customFormat="1" ht="13" x14ac:dyDescent="0.15"/>
    <row r="588" customFormat="1" ht="13" x14ac:dyDescent="0.15"/>
    <row r="589" customFormat="1" ht="13" x14ac:dyDescent="0.15"/>
    <row r="590" customFormat="1" ht="13" x14ac:dyDescent="0.15"/>
    <row r="591" customFormat="1" ht="13" x14ac:dyDescent="0.15"/>
    <row r="592" customFormat="1" ht="13" x14ac:dyDescent="0.15"/>
    <row r="593" customFormat="1" ht="13" x14ac:dyDescent="0.15"/>
    <row r="594" customFormat="1" ht="13" x14ac:dyDescent="0.15"/>
    <row r="595" customFormat="1" ht="13" x14ac:dyDescent="0.15"/>
    <row r="596" customFormat="1" ht="13" x14ac:dyDescent="0.15"/>
    <row r="597" customFormat="1" ht="13" x14ac:dyDescent="0.15"/>
    <row r="598" customFormat="1" ht="13" x14ac:dyDescent="0.15"/>
    <row r="599" customFormat="1" ht="13" x14ac:dyDescent="0.15"/>
    <row r="600" customFormat="1" ht="13" x14ac:dyDescent="0.15"/>
    <row r="601" customFormat="1" ht="13" x14ac:dyDescent="0.15"/>
    <row r="602" customFormat="1" ht="13" x14ac:dyDescent="0.15"/>
    <row r="603" customFormat="1" ht="13" x14ac:dyDescent="0.15"/>
    <row r="604" customFormat="1" ht="13" x14ac:dyDescent="0.15"/>
    <row r="605" customFormat="1" ht="13" x14ac:dyDescent="0.15"/>
    <row r="606" customFormat="1" ht="13" x14ac:dyDescent="0.15"/>
    <row r="607" customFormat="1" ht="13" x14ac:dyDescent="0.15"/>
    <row r="608" customFormat="1" ht="13" x14ac:dyDescent="0.15"/>
    <row r="609" customFormat="1" ht="13" x14ac:dyDescent="0.15"/>
    <row r="610" customFormat="1" ht="13" x14ac:dyDescent="0.15"/>
    <row r="611" customFormat="1" ht="13" x14ac:dyDescent="0.15"/>
    <row r="612" customFormat="1" ht="13" x14ac:dyDescent="0.15"/>
    <row r="613" customFormat="1" ht="13" x14ac:dyDescent="0.15"/>
    <row r="614" customFormat="1" ht="13" x14ac:dyDescent="0.15"/>
    <row r="615" customFormat="1" ht="13" x14ac:dyDescent="0.15"/>
    <row r="616" customFormat="1" ht="13" x14ac:dyDescent="0.15"/>
    <row r="617" customFormat="1" ht="13" x14ac:dyDescent="0.15"/>
    <row r="618" customFormat="1" ht="13" x14ac:dyDescent="0.15"/>
    <row r="619" customFormat="1" ht="13" x14ac:dyDescent="0.15"/>
    <row r="620" customFormat="1" ht="13" x14ac:dyDescent="0.15"/>
    <row r="621" customFormat="1" ht="13" x14ac:dyDescent="0.15"/>
    <row r="622" customFormat="1" ht="13" x14ac:dyDescent="0.15"/>
    <row r="623" customFormat="1" ht="13" x14ac:dyDescent="0.15"/>
    <row r="624" customFormat="1" ht="13" x14ac:dyDescent="0.15"/>
    <row r="625" customFormat="1" ht="13" x14ac:dyDescent="0.15"/>
    <row r="626" customFormat="1" ht="13" x14ac:dyDescent="0.15"/>
    <row r="627" customFormat="1" ht="13" x14ac:dyDescent="0.15"/>
    <row r="628" customFormat="1" ht="13" x14ac:dyDescent="0.15"/>
    <row r="629" customFormat="1" ht="13" x14ac:dyDescent="0.15"/>
    <row r="630" customFormat="1" ht="13" x14ac:dyDescent="0.15"/>
    <row r="631" customFormat="1" ht="13" x14ac:dyDescent="0.15"/>
    <row r="632" customFormat="1" ht="13" x14ac:dyDescent="0.15"/>
    <row r="633" customFormat="1" ht="13" x14ac:dyDescent="0.15"/>
    <row r="634" customFormat="1" ht="13" x14ac:dyDescent="0.15"/>
    <row r="635" customFormat="1" ht="13" x14ac:dyDescent="0.15"/>
    <row r="636" customFormat="1" ht="13" x14ac:dyDescent="0.15"/>
    <row r="637" customFormat="1" ht="13" x14ac:dyDescent="0.15"/>
    <row r="638" customFormat="1" ht="13" x14ac:dyDescent="0.15"/>
    <row r="639" customFormat="1" ht="13" x14ac:dyDescent="0.15"/>
    <row r="640" customFormat="1" ht="13" x14ac:dyDescent="0.15"/>
    <row r="641" customFormat="1" ht="13" x14ac:dyDescent="0.15"/>
    <row r="642" customFormat="1" ht="13" x14ac:dyDescent="0.15"/>
    <row r="643" customFormat="1" ht="13" x14ac:dyDescent="0.15"/>
    <row r="644" customFormat="1" ht="13" x14ac:dyDescent="0.15"/>
    <row r="645" customFormat="1" ht="13" x14ac:dyDescent="0.15"/>
    <row r="646" customFormat="1" ht="13" x14ac:dyDescent="0.15"/>
    <row r="647" customFormat="1" ht="13" x14ac:dyDescent="0.15"/>
    <row r="648" customFormat="1" ht="13" x14ac:dyDescent="0.15"/>
    <row r="649" customFormat="1" ht="13" x14ac:dyDescent="0.15"/>
    <row r="650" customFormat="1" ht="13" x14ac:dyDescent="0.15"/>
    <row r="651" customFormat="1" ht="13" x14ac:dyDescent="0.15"/>
    <row r="652" customFormat="1" ht="13" x14ac:dyDescent="0.15"/>
    <row r="653" customFormat="1" ht="13" x14ac:dyDescent="0.15"/>
    <row r="654" customFormat="1" ht="13" x14ac:dyDescent="0.15"/>
    <row r="655" customFormat="1" ht="13" x14ac:dyDescent="0.15"/>
    <row r="656" customFormat="1" ht="13" x14ac:dyDescent="0.15"/>
    <row r="657" spans="3:27" customFormat="1" ht="13" x14ac:dyDescent="0.15"/>
    <row r="658" spans="3:27" customFormat="1" ht="13" x14ac:dyDescent="0.15"/>
    <row r="659" spans="3:27" customFormat="1" ht="13" x14ac:dyDescent="0.15"/>
    <row r="660" spans="3:27" customFormat="1" ht="13" x14ac:dyDescent="0.15"/>
    <row r="661" spans="3:27" customFormat="1" ht="13" x14ac:dyDescent="0.15"/>
    <row r="662" spans="3:27" customFormat="1" ht="13" x14ac:dyDescent="0.15"/>
    <row r="663" spans="3:27" customFormat="1" ht="13" x14ac:dyDescent="0.15"/>
    <row r="664" spans="3:27" customFormat="1" ht="13" x14ac:dyDescent="0.15"/>
    <row r="665" spans="3:27" customFormat="1" ht="13" x14ac:dyDescent="0.15"/>
    <row r="666" spans="3:27" customFormat="1" ht="13" x14ac:dyDescent="0.15"/>
    <row r="667" spans="3:27" customFormat="1" ht="13" x14ac:dyDescent="0.15"/>
    <row r="668" spans="3:27" customFormat="1" ht="13" x14ac:dyDescent="0.15"/>
    <row r="669" spans="3:27" customFormat="1" ht="13" x14ac:dyDescent="0.15"/>
    <row r="670" spans="3:27" customFormat="1" ht="13" x14ac:dyDescent="0.15"/>
    <row r="671" spans="3:27" customFormat="1" ht="13" x14ac:dyDescent="0.15"/>
    <row r="672" spans="3:27" x14ac:dyDescent="0.2">
      <c r="C672"/>
      <c r="D672"/>
      <c r="S672"/>
      <c r="T672"/>
      <c r="U672"/>
      <c r="V672"/>
      <c r="W672"/>
      <c r="X672"/>
      <c r="Y672"/>
      <c r="Z672"/>
      <c r="AA672"/>
    </row>
    <row r="673" spans="3:27" x14ac:dyDescent="0.2">
      <c r="C673"/>
      <c r="D673"/>
      <c r="S673"/>
      <c r="T673"/>
      <c r="U673"/>
      <c r="V673"/>
      <c r="W673"/>
      <c r="X673"/>
      <c r="Y673"/>
      <c r="Z673"/>
      <c r="AA673"/>
    </row>
    <row r="674" spans="3:27" x14ac:dyDescent="0.2">
      <c r="S674"/>
      <c r="T674"/>
      <c r="U674"/>
    </row>
    <row r="675" spans="3:27" x14ac:dyDescent="0.2">
      <c r="S675"/>
      <c r="T675"/>
      <c r="U675"/>
    </row>
  </sheetData>
  <dataConsolidate link="1"/>
  <mergeCells count="18">
    <mergeCell ref="B1:L1"/>
    <mergeCell ref="D106:J106"/>
    <mergeCell ref="B2:L2"/>
    <mergeCell ref="M1:N1"/>
    <mergeCell ref="D123:J123"/>
    <mergeCell ref="B195:G196"/>
    <mergeCell ref="I3:L3"/>
    <mergeCell ref="B10:L10"/>
    <mergeCell ref="B133:L134"/>
    <mergeCell ref="B5:L5"/>
    <mergeCell ref="B32:L32"/>
    <mergeCell ref="B37:L37"/>
    <mergeCell ref="B85:L85"/>
    <mergeCell ref="D117:J117"/>
    <mergeCell ref="B104:L104"/>
    <mergeCell ref="F34:G34"/>
    <mergeCell ref="D115:J115"/>
    <mergeCell ref="D42:J42"/>
  </mergeCells>
  <conditionalFormatting sqref="D146:J146">
    <cfRule type="expression" dxfId="780" priority="711">
      <formula>D146="No"</formula>
    </cfRule>
    <cfRule type="expression" dxfId="779" priority="712">
      <formula>D146="Yes"</formula>
    </cfRule>
  </conditionalFormatting>
  <conditionalFormatting sqref="D144:J144">
    <cfRule type="expression" dxfId="778" priority="705">
      <formula>D144="Poor"</formula>
    </cfRule>
    <cfRule type="expression" dxfId="777" priority="706">
      <formula>D144="Fair"</formula>
    </cfRule>
    <cfRule type="expression" dxfId="776" priority="707">
      <formula>D144="Good"</formula>
    </cfRule>
    <cfRule type="expression" dxfId="775" priority="708">
      <formula>D144 = "Excellent"</formula>
    </cfRule>
  </conditionalFormatting>
  <conditionalFormatting sqref="B201:J246">
    <cfRule type="expression" dxfId="774" priority="15" stopIfTrue="1">
      <formula>ISERROR($C201)</formula>
    </cfRule>
  </conditionalFormatting>
  <conditionalFormatting sqref="E36">
    <cfRule type="expression" dxfId="773" priority="718">
      <formula>NOT($E$34="EV")</formula>
    </cfRule>
  </conditionalFormatting>
  <conditionalFormatting sqref="C55">
    <cfRule type="expression" dxfId="772" priority="720">
      <formula>OR($E$34="microHEV", $E$34="HEV-HP")</formula>
    </cfRule>
  </conditionalFormatting>
  <conditionalFormatting sqref="C119:J120">
    <cfRule type="expression" dxfId="771" priority="34">
      <formula>IF(_utilization_type = 1, TRUE, FALSE)</formula>
    </cfRule>
  </conditionalFormatting>
  <conditionalFormatting sqref="D140:J140">
    <cfRule type="expression" dxfId="770" priority="28">
      <formula>IF(D140 = "None", FALSE, TRUE)</formula>
    </cfRule>
    <cfRule type="expression" dxfId="769" priority="29">
      <formula>IF(D140 = "None", TRUE, FALSE)</formula>
    </cfRule>
  </conditionalFormatting>
  <conditionalFormatting sqref="D139:J139">
    <cfRule type="expression" dxfId="768" priority="26">
      <formula>IF(D139 = "None", FALSE, TRUE)</formula>
    </cfRule>
    <cfRule type="expression" dxfId="767" priority="27">
      <formula>IF(D139 = "None", TRUE, FALSE)</formula>
    </cfRule>
  </conditionalFormatting>
  <conditionalFormatting sqref="C59:J60">
    <cfRule type="expression" dxfId="766" priority="25">
      <formula>IF($D$36 = "Yes", FALSE, TRUE)</formula>
    </cfRule>
  </conditionalFormatting>
  <conditionalFormatting sqref="D198:J198">
    <cfRule type="expression" dxfId="765" priority="21">
      <formula>IF(D198 = "None", FALSE, TRUE)</formula>
    </cfRule>
    <cfRule type="expression" dxfId="764" priority="22">
      <formula>IF(D198 = "None", TRUE, FALSE)</formula>
    </cfRule>
  </conditionalFormatting>
  <conditionalFormatting sqref="D201:J235">
    <cfRule type="expression" dxfId="763" priority="19" stopIfTrue="1">
      <formula>IFERROR(IF(D201 = MAX($D201:$J201), TRUE, FALSE), FALSE)</formula>
    </cfRule>
    <cfRule type="expression" dxfId="762" priority="686" stopIfTrue="1">
      <formula>IFERROR(IF(D201 = MIN($D201:$J201), TRUE, FALSE), FALSE)</formula>
    </cfRule>
  </conditionalFormatting>
  <conditionalFormatting sqref="D199:J199">
    <cfRule type="expression" dxfId="761" priority="16">
      <formula>IF(D199 = "None", FALSE, TRUE)</formula>
    </cfRule>
    <cfRule type="expression" dxfId="760" priority="17">
      <formula>IF(D199 = "None", TRUE, FALSE)</formula>
    </cfRule>
  </conditionalFormatting>
  <conditionalFormatting sqref="C45:J45">
    <cfRule type="expression" dxfId="759" priority="1138">
      <formula>IF($D$42="Yes", TRUE, FALSE)</formula>
    </cfRule>
  </conditionalFormatting>
  <conditionalFormatting sqref="C47:J47">
    <cfRule type="expression" dxfId="758" priority="1139">
      <formula>IF($D$42="Yes", TRUE, FALSE)</formula>
    </cfRule>
  </conditionalFormatting>
  <conditionalFormatting sqref="D201:J246">
    <cfRule type="expression" dxfId="757" priority="18" stopIfTrue="1">
      <formula>NOT(D$198 = "None")</formula>
    </cfRule>
  </conditionalFormatting>
  <conditionalFormatting sqref="C112:J112">
    <cfRule type="expression" dxfId="756" priority="13">
      <formula>IF(_manufact_method = 1, TRUE, FALSE)</formula>
    </cfRule>
  </conditionalFormatting>
  <conditionalFormatting sqref="C29:E29">
    <cfRule type="expression" dxfId="755" priority="6">
      <formula>IF($D$28="No", TRUE, FALSE)</formula>
    </cfRule>
  </conditionalFormatting>
  <conditionalFormatting sqref="D198:J199 D201:J246">
    <cfRule type="expression" dxfId="754" priority="5">
      <formula>NOT(ISERROR(FIND("$", $C198)))</formula>
    </cfRule>
  </conditionalFormatting>
  <conditionalFormatting sqref="D53:J54">
    <cfRule type="expression" dxfId="753" priority="3">
      <formula>AND(NOT(ISBLANK(D$53)), NOT(ISBLANK(D$54)))</formula>
    </cfRule>
  </conditionalFormatting>
  <conditionalFormatting sqref="D106:J106">
    <cfRule type="expression" dxfId="752" priority="2">
      <formula>AND(_manufact_method &gt;1,  _utilization_type &gt;1)</formula>
    </cfRule>
  </conditionalFormatting>
  <conditionalFormatting sqref="D117:J117">
    <cfRule type="expression" dxfId="751" priority="1">
      <formula>AND(_manufact_method &gt;1,  _utilization_type &gt;1)</formula>
    </cfRule>
  </conditionalFormatting>
  <dataValidations xWindow="1267" yWindow="608" count="9">
    <dataValidation type="list" allowBlank="1" showInputMessage="1" showErrorMessage="1" sqref="C15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2:J62" xr:uid="{00000000-0002-0000-0100-000002000000}">
      <formula1>NOT(ISBLANK(D62))</formula1>
    </dataValidation>
    <dataValidation type="list" allowBlank="1" showInputMessage="1" showErrorMessage="1" errorTitle="Fast Charge only for EV" error="Please select &quot;No&quot; for fast charging, as fast charging can only be calculated for EV currently. " promptTitle="Select Vehicle Type" sqref="E34" xr:uid="{00000000-0002-0000-0100-000003000000}">
      <formula1>_vehicles</formula1>
    </dataValidation>
    <dataValidation type="list" allowBlank="1" showInputMessage="1" showErrorMessage="1" errorTitle="Invalid Entry" error="Please select from thelist" promptTitle="Please select Yes or No" sqref="D42" xr:uid="{00000000-0002-0000-0100-000004000000}">
      <formula1>"Yes, No"</formula1>
    </dataValidation>
    <dataValidation type="list" allowBlank="1" showInputMessage="1" showErrorMessage="1" sqref="E29" xr:uid="{6A7D2B8F-BDC1-49F8-99A1-D4E3221AC603}">
      <formula1>"0,5,10,15,20"</formula1>
    </dataValidation>
    <dataValidation type="list" allowBlank="1" showInputMessage="1" showErrorMessage="1" sqref="E28" xr:uid="{1F843F04-E926-4E7D-B673-E1D76F732A9C}">
      <formula1>"Yes, No"</formula1>
    </dataValidation>
    <dataValidation type="list" allowBlank="1" showInputMessage="1" showErrorMessage="1" errorTitle="Fast Charge only for EV" error="Please select &quot;No&quot; for fast charging, as fast charging can only be calculated for EV currently. " promptTitle="Select Vehicle Type" sqref="E35" xr:uid="{11EF0FD1-C0A3-49CD-B32A-DCF332B88DB1}">
      <formula1>"Cost, Mass"</formula1>
    </dataValidation>
    <dataValidation type="list" allowBlank="1" showInputMessage="1" showErrorMessage="1" sqref="C156:C158" xr:uid="{17D72742-8B87-4BBF-B0AB-5B062C5FCFF8}">
      <formula1>OFFSET($C$200, 0,0, $E$154+1)</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86" fitToHeight="0" orientation="portrait" r:id="rId1"/>
  <rowBreaks count="1" manualBreakCount="1">
    <brk id="1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114300</xdr:colOff>
                    <xdr:row>78</xdr:row>
                    <xdr:rowOff>88900</xdr:rowOff>
                  </from>
                  <to>
                    <xdr:col>4</xdr:col>
                    <xdr:colOff>850900</xdr:colOff>
                    <xdr:row>82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xr:uid="{00000000-0002-0000-0100-00000C000000}">
          <x14:formula1>
            <xm:f>Lists!$B$164:$B$165</xm:f>
          </x14:formula1>
          <xm:sqref>D123:J123</xm:sqref>
        </x14:dataValidation>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IF($E$34="EV",Lists!$BA$15:$BA$16, Lists!$BA$16)</xm:f>
          </x14:formula1>
          <xm:sqref>E36</xm:sqref>
        </x14:dataValidation>
        <x14:dataValidation type="list" allowBlank="1" showInputMessage="1" showErrorMessage="1" xr:uid="{00000000-0002-0000-0100-00000A000000}">
          <x14:formula1>
            <xm:f>Lists!$BA$20:$BA$22</xm:f>
          </x14:formula1>
          <xm:sqref>D117:J117</xm:sqref>
        </x14:dataValidation>
        <x14:dataValidation type="list" allowBlank="1" showInputMessage="1" showErrorMessage="1" xr:uid="{00000000-0002-0000-0100-00000B000000}">
          <x14:formula1>
            <xm:f>Lists!$B$156:$B$158</xm:f>
          </x14:formula1>
          <xm:sqref>D106:J106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9"/>
  <sheetViews>
    <sheetView workbookViewId="0">
      <pane ySplit="6" topLeftCell="A84" activePane="bottomLeft" state="frozen"/>
      <selection pane="bottomLeft" activeCell="G117" sqref="G117"/>
    </sheetView>
  </sheetViews>
  <sheetFormatPr baseColWidth="10" defaultColWidth="9.5" defaultRowHeight="14" x14ac:dyDescent="0.15"/>
  <cols>
    <col min="1" max="1" width="3.5" style="67" customWidth="1"/>
    <col min="2" max="2" width="43.5" style="8" customWidth="1"/>
    <col min="3" max="3" width="18" style="8" customWidth="1"/>
    <col min="4" max="4" width="8.5" style="8" bestFit="1" customWidth="1"/>
    <col min="5" max="5" width="18.5" style="8" customWidth="1"/>
    <col min="6" max="6" width="20.5" style="8" customWidth="1"/>
    <col min="7" max="8" width="12" style="8" bestFit="1" customWidth="1"/>
    <col min="9" max="13" width="12.5" style="8" bestFit="1" customWidth="1"/>
    <col min="14" max="14" width="20.5" style="8" customWidth="1"/>
    <col min="15" max="15" width="18.5" style="8" bestFit="1" customWidth="1"/>
    <col min="16" max="16" width="24.5" style="8" bestFit="1" customWidth="1"/>
    <col min="17" max="25" width="9.5" style="8"/>
    <col min="26" max="26" width="15.5" style="8" customWidth="1"/>
    <col min="27" max="31" width="9.5" style="8"/>
    <col min="32" max="32" width="16.5" style="8" customWidth="1"/>
    <col min="33" max="16384" width="9.5" style="8"/>
  </cols>
  <sheetData>
    <row r="1" spans="1:16" ht="21" thickBot="1" x14ac:dyDescent="0.25">
      <c r="B1" s="1267" t="s">
        <v>15</v>
      </c>
      <c r="C1" s="1268"/>
      <c r="D1" s="1268"/>
      <c r="E1" s="1268"/>
      <c r="F1" s="1268"/>
      <c r="G1" s="1268"/>
      <c r="H1" s="1268"/>
      <c r="I1" s="1268"/>
      <c r="J1" s="1268"/>
      <c r="K1" s="1268"/>
      <c r="L1" s="1268"/>
      <c r="M1" s="1269"/>
      <c r="N1" s="1260" t="s">
        <v>9</v>
      </c>
      <c r="O1" s="1261"/>
      <c r="P1"/>
    </row>
    <row r="2" spans="1:16" ht="15.75" customHeight="1" thickBot="1" x14ac:dyDescent="0.25">
      <c r="B2" s="1270" t="str">
        <f>Dashboard!B2</f>
        <v>EV with NMC532-G (Power) Electrodes</v>
      </c>
      <c r="C2" s="1271"/>
      <c r="D2" s="1271"/>
      <c r="E2" s="1271"/>
      <c r="F2" s="1271"/>
      <c r="G2" s="1271"/>
      <c r="H2" s="1271"/>
      <c r="I2" s="1271"/>
      <c r="J2" s="1271"/>
      <c r="K2" s="1271"/>
      <c r="L2" s="1271"/>
      <c r="M2" s="1272"/>
      <c r="N2" s="987" t="s">
        <v>8</v>
      </c>
      <c r="O2" s="988" t="s">
        <v>10</v>
      </c>
      <c r="P2"/>
    </row>
    <row r="3" spans="1:16" ht="15.75" customHeight="1" x14ac:dyDescent="0.2">
      <c r="B3" s="1291" t="s">
        <v>132</v>
      </c>
      <c r="C3" s="1291"/>
      <c r="D3" s="1291"/>
      <c r="E3" s="1291"/>
      <c r="F3" s="1291"/>
      <c r="G3" s="1291"/>
      <c r="H3" s="1291"/>
      <c r="I3" s="1291"/>
      <c r="J3" s="1291"/>
      <c r="K3" s="1291"/>
      <c r="L3" s="1291"/>
      <c r="M3" s="1292"/>
      <c r="N3" s="989" t="s">
        <v>15</v>
      </c>
      <c r="O3" s="988" t="s">
        <v>16</v>
      </c>
      <c r="P3"/>
    </row>
    <row r="4" spans="1:16" ht="15.75" customHeight="1" x14ac:dyDescent="0.15">
      <c r="B4" s="1293" t="s">
        <v>133</v>
      </c>
      <c r="C4" s="1293"/>
      <c r="D4" s="1293"/>
      <c r="E4" s="1293"/>
      <c r="F4" s="181"/>
      <c r="G4" s="1294" t="s">
        <v>12</v>
      </c>
      <c r="H4" s="1294"/>
      <c r="I4" s="1294"/>
      <c r="J4" s="1294"/>
      <c r="K4" s="1294"/>
      <c r="L4" s="1294"/>
      <c r="M4" s="1295"/>
      <c r="N4" s="986" t="s">
        <v>17</v>
      </c>
      <c r="O4" s="988" t="s">
        <v>18</v>
      </c>
      <c r="P4"/>
    </row>
    <row r="5" spans="1:16" ht="15.75" customHeight="1" thickBot="1" x14ac:dyDescent="0.2">
      <c r="B5" s="1296" t="s">
        <v>13</v>
      </c>
      <c r="C5" s="1296"/>
      <c r="D5" s="1296"/>
      <c r="E5" s="1296"/>
      <c r="F5" s="185"/>
      <c r="G5" s="1297" t="s">
        <v>14</v>
      </c>
      <c r="H5" s="1297"/>
      <c r="I5" s="1297"/>
      <c r="J5" s="1297"/>
      <c r="K5" s="1297"/>
      <c r="L5" s="1297"/>
      <c r="M5" s="1298"/>
      <c r="N5" s="986" t="s">
        <v>20</v>
      </c>
      <c r="O5" s="992" t="s">
        <v>21</v>
      </c>
      <c r="P5"/>
    </row>
    <row r="6" spans="1:16" ht="15.75" customHeight="1" thickBot="1" x14ac:dyDescent="0.25">
      <c r="A6" s="26" t="s">
        <v>134</v>
      </c>
      <c r="B6"/>
      <c r="C6" s="16"/>
      <c r="D6" s="16"/>
      <c r="E6" s="16"/>
      <c r="F6" s="16"/>
      <c r="G6" s="123" t="s">
        <v>56</v>
      </c>
      <c r="H6" s="123" t="s">
        <v>57</v>
      </c>
      <c r="I6" s="123" t="s">
        <v>58</v>
      </c>
      <c r="J6" s="123" t="s">
        <v>59</v>
      </c>
      <c r="K6" s="123" t="s">
        <v>60</v>
      </c>
      <c r="L6" s="123" t="s">
        <v>61</v>
      </c>
      <c r="M6" s="389" t="s">
        <v>62</v>
      </c>
      <c r="N6" s="990" t="s">
        <v>25</v>
      </c>
      <c r="O6" s="991" t="s">
        <v>26</v>
      </c>
    </row>
    <row r="7" spans="1:16" ht="15.75" customHeight="1" thickBot="1" x14ac:dyDescent="0.25">
      <c r="A7" s="26"/>
      <c r="B7"/>
      <c r="C7" s="16"/>
      <c r="D7" s="16"/>
      <c r="E7" s="16"/>
      <c r="F7" s="16"/>
      <c r="G7" s="123"/>
      <c r="H7" s="123"/>
      <c r="I7" s="123"/>
      <c r="J7" s="123"/>
      <c r="K7" s="123"/>
      <c r="L7" s="123"/>
      <c r="M7" s="389"/>
    </row>
    <row r="8" spans="1:16" ht="21" thickBot="1" x14ac:dyDescent="0.25">
      <c r="A8" s="26"/>
      <c r="B8" s="1262" t="s">
        <v>135</v>
      </c>
      <c r="C8" s="1263"/>
      <c r="D8" s="1263"/>
      <c r="E8" s="1263"/>
      <c r="F8" s="1263"/>
      <c r="G8" s="1263"/>
      <c r="H8" s="1263"/>
      <c r="I8" s="1263"/>
      <c r="J8" s="1263"/>
      <c r="K8" s="1263"/>
      <c r="L8" s="1263"/>
      <c r="M8" s="1264"/>
    </row>
    <row r="9" spans="1:16" ht="15.75" customHeight="1" x14ac:dyDescent="0.2">
      <c r="A9" s="26"/>
      <c r="B9"/>
      <c r="C9" s="16"/>
      <c r="D9" s="16"/>
      <c r="E9" s="16"/>
      <c r="F9" s="16"/>
      <c r="G9" s="123"/>
      <c r="H9" s="123"/>
      <c r="I9" s="123"/>
      <c r="J9" s="123"/>
      <c r="K9" s="123"/>
      <c r="L9" s="123"/>
      <c r="M9" s="389"/>
    </row>
    <row r="10" spans="1:16" ht="15.75" customHeight="1" x14ac:dyDescent="0.2">
      <c r="A10" s="26"/>
      <c r="B10" s="860" t="s">
        <v>136</v>
      </c>
      <c r="C10" s="16"/>
      <c r="D10" s="16"/>
      <c r="E10" s="16"/>
      <c r="F10" s="16"/>
      <c r="G10" s="912" t="str">
        <f ca="1">Dashboard!D139</f>
        <v>None</v>
      </c>
      <c r="H10" s="912" t="str">
        <f ca="1">Dashboard!E139</f>
        <v>None</v>
      </c>
      <c r="I10" s="912" t="str">
        <f ca="1">Dashboard!F139</f>
        <v>None</v>
      </c>
      <c r="J10" s="912" t="str">
        <f ca="1">Dashboard!G139</f>
        <v>None</v>
      </c>
      <c r="K10" s="912" t="str">
        <f ca="1">Dashboard!H139</f>
        <v>None</v>
      </c>
      <c r="L10" s="912" t="str">
        <f ca="1">Dashboard!I139</f>
        <v>None</v>
      </c>
      <c r="M10" s="912" t="str">
        <f ca="1">Dashboard!J139</f>
        <v>None</v>
      </c>
      <c r="N10" s="562"/>
    </row>
    <row r="11" spans="1:16" ht="15.75" customHeight="1" x14ac:dyDescent="0.2">
      <c r="A11" s="26"/>
      <c r="B11" s="346" t="s">
        <v>137</v>
      </c>
      <c r="C11" s="16"/>
      <c r="D11" s="16"/>
      <c r="E11" s="16"/>
      <c r="F11" s="16"/>
      <c r="G11" s="912" t="str">
        <f ca="1">Dashboard!D140</f>
        <v>10</v>
      </c>
      <c r="H11" s="912" t="str">
        <f ca="1">Dashboard!E140</f>
        <v>10</v>
      </c>
      <c r="I11" s="912" t="str">
        <f ca="1">Dashboard!F140</f>
        <v>10</v>
      </c>
      <c r="J11" s="912" t="str">
        <f ca="1">Dashboard!G140</f>
        <v>10</v>
      </c>
      <c r="K11" s="912" t="str">
        <f ca="1">Dashboard!H140</f>
        <v>10</v>
      </c>
      <c r="L11" s="912" t="str">
        <f ca="1">Dashboard!I140</f>
        <v>10</v>
      </c>
      <c r="M11" s="912" t="str">
        <f ca="1">Dashboard!J140</f>
        <v>10</v>
      </c>
      <c r="N11" s="562"/>
    </row>
    <row r="12" spans="1:16" ht="15.75" customHeight="1" thickBot="1" x14ac:dyDescent="0.25">
      <c r="A12" s="26"/>
      <c r="B12"/>
      <c r="C12" s="16"/>
      <c r="D12" s="16"/>
      <c r="E12" s="16"/>
      <c r="F12" s="16"/>
      <c r="G12" s="123"/>
      <c r="H12" s="123"/>
      <c r="I12" s="123"/>
      <c r="J12" s="123"/>
      <c r="K12" s="123"/>
      <c r="L12" s="123"/>
      <c r="M12" s="389"/>
    </row>
    <row r="13" spans="1:16" ht="21" thickBot="1" x14ac:dyDescent="0.25">
      <c r="A13" s="1214"/>
      <c r="B13" s="1262" t="s">
        <v>138</v>
      </c>
      <c r="C13" s="1263"/>
      <c r="D13" s="1263"/>
      <c r="E13" s="1263"/>
      <c r="F13" s="1263"/>
      <c r="G13" s="1263"/>
      <c r="H13" s="1263"/>
      <c r="I13" s="1263"/>
      <c r="J13" s="1263"/>
      <c r="K13" s="1263"/>
      <c r="L13" s="1263"/>
      <c r="M13" s="1264"/>
      <c r="N13" s="123"/>
    </row>
    <row r="14" spans="1:16" ht="15" customHeight="1" x14ac:dyDescent="0.2">
      <c r="A14" s="1214"/>
      <c r="B14" s="555"/>
      <c r="C14" s="555"/>
      <c r="D14" s="555"/>
      <c r="E14" s="555"/>
      <c r="F14" s="555"/>
      <c r="G14" s="555"/>
      <c r="H14" s="555"/>
      <c r="I14" s="555"/>
      <c r="J14" s="555"/>
      <c r="K14" s="555"/>
      <c r="L14" s="555"/>
      <c r="M14" s="555"/>
      <c r="N14" s="123"/>
    </row>
    <row r="15" spans="1:16" ht="16" x14ac:dyDescent="0.2">
      <c r="A15" s="26"/>
      <c r="B15" s="5" t="s">
        <v>139</v>
      </c>
      <c r="G15" s="46"/>
      <c r="H15" s="46"/>
      <c r="I15" s="46"/>
      <c r="J15" s="46"/>
      <c r="K15" s="46"/>
      <c r="L15" s="46"/>
      <c r="M15" s="46"/>
    </row>
    <row r="16" spans="1:16" x14ac:dyDescent="0.15">
      <c r="A16" s="26"/>
      <c r="B16" s="507" t="s">
        <v>140</v>
      </c>
      <c r="G16" s="46"/>
      <c r="H16" s="46"/>
      <c r="I16" s="46"/>
      <c r="J16" s="46"/>
      <c r="K16" s="46"/>
      <c r="L16" s="46"/>
      <c r="M16" s="46"/>
    </row>
    <row r="17" spans="1:15" ht="13" x14ac:dyDescent="0.15">
      <c r="A17" s="26"/>
      <c r="B17" s="346" t="s">
        <v>141</v>
      </c>
      <c r="C17" s="346"/>
      <c r="D17" s="346"/>
      <c r="E17" s="346"/>
      <c r="F17" s="346"/>
      <c r="G17" s="847">
        <f>'Battery Design'!G12</f>
        <v>1</v>
      </c>
      <c r="H17" s="847">
        <f>'Battery Design'!H12</f>
        <v>1</v>
      </c>
      <c r="I17" s="847">
        <f>'Battery Design'!I12</f>
        <v>1</v>
      </c>
      <c r="J17" s="847">
        <f>'Battery Design'!J12</f>
        <v>1</v>
      </c>
      <c r="K17" s="847">
        <f>'Battery Design'!K12</f>
        <v>1</v>
      </c>
      <c r="L17" s="847">
        <f>'Battery Design'!L12</f>
        <v>1</v>
      </c>
      <c r="M17" s="847">
        <f>'Battery Design'!M12</f>
        <v>1</v>
      </c>
    </row>
    <row r="18" spans="1:15" ht="13" x14ac:dyDescent="0.15">
      <c r="A18" s="26"/>
      <c r="B18" s="346" t="s">
        <v>142</v>
      </c>
      <c r="C18" s="346"/>
      <c r="D18" s="346"/>
      <c r="E18" s="346"/>
      <c r="F18" s="346"/>
      <c r="G18" s="848" t="str">
        <f>IF(G17=1," ",IF('Battery Design'!G13="P","parallel",IF('Battery Design'!G13="S","series"," ")))</f>
        <v xml:space="preserve"> </v>
      </c>
      <c r="H18" s="848" t="str">
        <f>IF(H17=1," ",IF('Battery Design'!H13="P","parallel",IF('Battery Design'!H13="S","series"," ")))</f>
        <v xml:space="preserve"> </v>
      </c>
      <c r="I18" s="848" t="str">
        <f>IF(I17=1," ",IF('Battery Design'!I13="P","parallel",IF('Battery Design'!I13="S","series"," ")))</f>
        <v xml:space="preserve"> </v>
      </c>
      <c r="J18" s="848" t="str">
        <f>IF(J17=1," ",IF('Battery Design'!J13="P","parallel",IF('Battery Design'!J13="S","series"," ")))</f>
        <v xml:space="preserve"> </v>
      </c>
      <c r="K18" s="848" t="str">
        <f>IF(K17=1," ",IF('Battery Design'!K13="P","parallel",IF('Battery Design'!K13="S","series"," ")))</f>
        <v xml:space="preserve"> </v>
      </c>
      <c r="L18" s="848" t="str">
        <f>IF(L17=1," ",IF('Battery Design'!L13="P","parallel",IF('Battery Design'!L13="S","series"," ")))</f>
        <v xml:space="preserve"> </v>
      </c>
      <c r="M18" s="848" t="str">
        <f>IF(M17=1," ",IF('Battery Design'!M13="P","parallel",IF('Battery Design'!M13="S","series"," ")))</f>
        <v xml:space="preserve"> </v>
      </c>
    </row>
    <row r="19" spans="1:15" ht="13" x14ac:dyDescent="0.15">
      <c r="A19" s="26"/>
      <c r="B19" s="346" t="s">
        <v>143</v>
      </c>
      <c r="C19" s="346"/>
      <c r="D19" s="346"/>
      <c r="E19" s="346"/>
      <c r="F19" s="346"/>
      <c r="G19" s="851">
        <f ca="1">'Battery Design'!G16</f>
        <v>370.46640670027602</v>
      </c>
      <c r="H19" s="851">
        <f ca="1">'Battery Design'!H16</f>
        <v>370.46640670027602</v>
      </c>
      <c r="I19" s="851">
        <f ca="1">'Battery Design'!I16</f>
        <v>370.46640670027602</v>
      </c>
      <c r="J19" s="851">
        <f ca="1">'Battery Design'!J16</f>
        <v>370.46640670027602</v>
      </c>
      <c r="K19" s="851">
        <f ca="1">'Battery Design'!K16</f>
        <v>370.46640670027602</v>
      </c>
      <c r="L19" s="851">
        <f ca="1">'Battery Design'!L16</f>
        <v>370.46640670027602</v>
      </c>
      <c r="M19" s="851">
        <f ca="1">'Battery Design'!M16</f>
        <v>370.46640670027602</v>
      </c>
    </row>
    <row r="20" spans="1:15" ht="13" x14ac:dyDescent="0.15">
      <c r="A20" s="26">
        <v>4</v>
      </c>
      <c r="B20" s="346" t="s">
        <v>144</v>
      </c>
      <c r="C20" s="346"/>
      <c r="D20" s="346"/>
      <c r="E20" s="346"/>
      <c r="F20" s="346"/>
      <c r="G20" s="851">
        <f ca="1">'Battery Design'!G17</f>
        <v>367.97329287237056</v>
      </c>
      <c r="H20" s="851">
        <f ca="1">'Battery Design'!H17</f>
        <v>367.97329287237056</v>
      </c>
      <c r="I20" s="851">
        <f ca="1">'Battery Design'!I17</f>
        <v>367.97329287237056</v>
      </c>
      <c r="J20" s="851">
        <f ca="1">'Battery Design'!J17</f>
        <v>367.97329287237056</v>
      </c>
      <c r="K20" s="851">
        <f ca="1">'Battery Design'!K17</f>
        <v>367.97329287237056</v>
      </c>
      <c r="L20" s="851">
        <f ca="1">'Battery Design'!L17</f>
        <v>367.97329287237056</v>
      </c>
      <c r="M20" s="851">
        <f ca="1">'Battery Design'!M17</f>
        <v>367.97329287237056</v>
      </c>
    </row>
    <row r="21" spans="1:15" ht="13" x14ac:dyDescent="0.15">
      <c r="A21" s="26">
        <v>2</v>
      </c>
      <c r="B21" s="346" t="s">
        <v>145</v>
      </c>
      <c r="C21" s="346"/>
      <c r="D21" s="346"/>
      <c r="E21" s="346"/>
      <c r="F21" s="346"/>
      <c r="G21" s="851">
        <f ca="1">'Battery Design'!G38</f>
        <v>271.75885298479949</v>
      </c>
      <c r="H21" s="851">
        <f ca="1">'Battery Design'!H38</f>
        <v>271.75885298479949</v>
      </c>
      <c r="I21" s="851">
        <f ca="1">'Battery Design'!I38</f>
        <v>271.75885298479949</v>
      </c>
      <c r="J21" s="851">
        <f ca="1">'Battery Design'!J38</f>
        <v>271.75885298479949</v>
      </c>
      <c r="K21" s="851">
        <f ca="1">'Battery Design'!K38</f>
        <v>271.75885298479949</v>
      </c>
      <c r="L21" s="851">
        <f ca="1">'Battery Design'!L38</f>
        <v>271.75885298479949</v>
      </c>
      <c r="M21" s="851">
        <f ca="1">'Battery Design'!M38</f>
        <v>271.75885298479949</v>
      </c>
    </row>
    <row r="22" spans="1:15" ht="13" x14ac:dyDescent="0.15">
      <c r="A22" s="26">
        <v>1</v>
      </c>
      <c r="B22" s="346" t="s">
        <v>146</v>
      </c>
      <c r="C22" s="346"/>
      <c r="D22" s="346"/>
      <c r="E22" s="346"/>
      <c r="F22" s="346"/>
      <c r="G22" s="851">
        <f ca="1">G21*G20/1000</f>
        <v>100.00000000003512</v>
      </c>
      <c r="H22" s="851">
        <f t="shared" ref="H22:M22" ca="1" si="0">H21*H20/1000</f>
        <v>100.00000000003512</v>
      </c>
      <c r="I22" s="851">
        <f t="shared" ca="1" si="0"/>
        <v>100.00000000003512</v>
      </c>
      <c r="J22" s="851">
        <f t="shared" ca="1" si="0"/>
        <v>100.00000000003512</v>
      </c>
      <c r="K22" s="851">
        <f t="shared" ca="1" si="0"/>
        <v>100.00000000003512</v>
      </c>
      <c r="L22" s="851">
        <f t="shared" ca="1" si="0"/>
        <v>100.00000000003512</v>
      </c>
      <c r="M22" s="851">
        <f t="shared" ca="1" si="0"/>
        <v>100.00000000003512</v>
      </c>
      <c r="O22" s="68"/>
    </row>
    <row r="23" spans="1:15" ht="15" x14ac:dyDescent="0.15">
      <c r="B23" s="346" t="s">
        <v>147</v>
      </c>
      <c r="G23" s="66">
        <f ca="1">G22*Dashboard!$I$36/100</f>
        <v>85.000000000029843</v>
      </c>
      <c r="H23" s="66">
        <f ca="1">H22*Dashboard!$I$36/100</f>
        <v>85.000000000029843</v>
      </c>
      <c r="I23" s="66">
        <f ca="1">I22*Dashboard!$I$36/100</f>
        <v>85.000000000029843</v>
      </c>
      <c r="J23" s="66">
        <f ca="1">J22*Dashboard!$I$36/100</f>
        <v>85.000000000029843</v>
      </c>
      <c r="K23" s="66">
        <f ca="1">K22*Dashboard!$I$36/100</f>
        <v>85.000000000029843</v>
      </c>
      <c r="L23" s="66">
        <f ca="1">L22*Dashboard!$I$36/100</f>
        <v>85.000000000029843</v>
      </c>
      <c r="M23" s="66">
        <f ca="1">M22*Dashboard!$I$36/100</f>
        <v>85.000000000029843</v>
      </c>
    </row>
    <row r="24" spans="1:15" ht="13" x14ac:dyDescent="0.15">
      <c r="A24" s="26"/>
      <c r="B24" s="346" t="s">
        <v>148</v>
      </c>
      <c r="C24" s="346"/>
      <c r="D24" s="346"/>
      <c r="E24" s="346"/>
      <c r="F24" s="346"/>
      <c r="G24" s="851">
        <f ca="1">'Battery Design'!G367*G17</f>
        <v>843.4174542613448</v>
      </c>
      <c r="H24" s="851">
        <f ca="1">'Battery Design'!H367*H17</f>
        <v>843.4174542613448</v>
      </c>
      <c r="I24" s="851">
        <f ca="1">'Battery Design'!I367*I17</f>
        <v>843.4174542613448</v>
      </c>
      <c r="J24" s="851">
        <f ca="1">'Battery Design'!J367*J17</f>
        <v>843.4174542613448</v>
      </c>
      <c r="K24" s="851">
        <f ca="1">'Battery Design'!K367*K17</f>
        <v>843.4174542613448</v>
      </c>
      <c r="L24" s="851">
        <f ca="1">'Battery Design'!L367*L17</f>
        <v>843.4174542613448</v>
      </c>
      <c r="M24" s="851">
        <f ca="1">'Battery Design'!M367*M17</f>
        <v>843.4174542613448</v>
      </c>
    </row>
    <row r="25" spans="1:15" ht="13" x14ac:dyDescent="0.15">
      <c r="A25" s="26">
        <v>3</v>
      </c>
      <c r="B25" s="346" t="s">
        <v>149</v>
      </c>
      <c r="C25" s="346"/>
      <c r="D25" s="346"/>
      <c r="E25" s="346"/>
      <c r="F25" s="346"/>
      <c r="G25" s="851">
        <f ca="1">'Battery Design'!G368*G17</f>
        <v>299.99999999992571</v>
      </c>
      <c r="H25" s="851">
        <f ca="1">'Battery Design'!H368*H17</f>
        <v>299.99999999992571</v>
      </c>
      <c r="I25" s="851">
        <f ca="1">'Battery Design'!I368*I17</f>
        <v>299.99999999992571</v>
      </c>
      <c r="J25" s="851">
        <f ca="1">'Battery Design'!J368*J17</f>
        <v>299.99999999992571</v>
      </c>
      <c r="K25" s="851">
        <f ca="1">'Battery Design'!K368*K17</f>
        <v>299.99999999992571</v>
      </c>
      <c r="L25" s="851">
        <f ca="1">'Battery Design'!L368*L17</f>
        <v>299.99999999992571</v>
      </c>
      <c r="M25" s="851">
        <f ca="1">'Battery Design'!M368*M17</f>
        <v>299.99999999992571</v>
      </c>
    </row>
    <row r="26" spans="1:15" x14ac:dyDescent="0.15">
      <c r="B26" s="346" t="s">
        <v>150</v>
      </c>
      <c r="C26" s="346"/>
      <c r="D26" s="346"/>
      <c r="E26" s="346"/>
      <c r="F26" s="346"/>
      <c r="G26" s="851">
        <f>'Battery Design'!G139</f>
        <v>20</v>
      </c>
      <c r="H26" s="851">
        <f>'Battery Design'!H139</f>
        <v>20</v>
      </c>
      <c r="I26" s="851">
        <f>'Battery Design'!I139</f>
        <v>20</v>
      </c>
      <c r="J26" s="851">
        <f>'Battery Design'!J139</f>
        <v>20</v>
      </c>
      <c r="K26" s="851">
        <f>'Battery Design'!K139</f>
        <v>20</v>
      </c>
      <c r="L26" s="851">
        <f>'Battery Design'!L139</f>
        <v>20</v>
      </c>
      <c r="M26" s="851">
        <f>'Battery Design'!M139</f>
        <v>20</v>
      </c>
      <c r="N26" s="562"/>
    </row>
    <row r="27" spans="1:15" x14ac:dyDescent="0.15">
      <c r="B27" s="346" t="s">
        <v>151</v>
      </c>
      <c r="C27" s="346"/>
      <c r="D27" s="346"/>
      <c r="E27" s="346"/>
      <c r="F27" s="346"/>
      <c r="G27" s="851">
        <f>Dashboard!D44</f>
        <v>10</v>
      </c>
      <c r="H27" s="851">
        <f>Dashboard!E44</f>
        <v>10</v>
      </c>
      <c r="I27" s="851">
        <f>Dashboard!F44</f>
        <v>10</v>
      </c>
      <c r="J27" s="851">
        <f>Dashboard!G44</f>
        <v>10</v>
      </c>
      <c r="K27" s="851">
        <f>Dashboard!H44</f>
        <v>10</v>
      </c>
      <c r="L27" s="851">
        <f>Dashboard!I44</f>
        <v>10</v>
      </c>
      <c r="M27" s="851">
        <f>Dashboard!J44</f>
        <v>10</v>
      </c>
      <c r="N27" s="562"/>
    </row>
    <row r="28" spans="1:15" ht="13" x14ac:dyDescent="0.15">
      <c r="A28" s="26"/>
      <c r="B28" s="346" t="s">
        <v>152</v>
      </c>
      <c r="C28" s="346"/>
      <c r="D28" s="346"/>
      <c r="E28" s="346"/>
      <c r="F28" s="346"/>
      <c r="G28" s="859">
        <f ca="1">'Battery Design'!G118</f>
        <v>93.941857123999057</v>
      </c>
      <c r="H28" s="859">
        <f ca="1">'Battery Design'!H118</f>
        <v>93.941857123999057</v>
      </c>
      <c r="I28" s="859">
        <f ca="1">'Battery Design'!I118</f>
        <v>93.941857123999057</v>
      </c>
      <c r="J28" s="859">
        <f ca="1">'Battery Design'!J118</f>
        <v>93.941857123999057</v>
      </c>
      <c r="K28" s="859">
        <f ca="1">'Battery Design'!K118</f>
        <v>93.941857123999057</v>
      </c>
      <c r="L28" s="859">
        <f ca="1">'Battery Design'!L118</f>
        <v>93.941857123999057</v>
      </c>
      <c r="M28" s="859">
        <f ca="1">'Battery Design'!M118</f>
        <v>93.941857123999057</v>
      </c>
      <c r="N28" s="562"/>
    </row>
    <row r="29" spans="1:15" ht="13" x14ac:dyDescent="0.15">
      <c r="A29" s="26"/>
      <c r="B29" s="346" t="s">
        <v>153</v>
      </c>
      <c r="C29" s="346"/>
      <c r="D29" s="346"/>
      <c r="E29" s="346"/>
      <c r="F29" s="346"/>
      <c r="G29" s="851">
        <f ca="1">Thermal!G154</f>
        <v>442.53139805735219</v>
      </c>
      <c r="H29" s="851">
        <f ca="1">Thermal!H154</f>
        <v>442.53139805735219</v>
      </c>
      <c r="I29" s="851">
        <f ca="1">Thermal!I154</f>
        <v>442.53139805735219</v>
      </c>
      <c r="J29" s="851">
        <f ca="1">Thermal!J154</f>
        <v>442.53139805735219</v>
      </c>
      <c r="K29" s="851">
        <f ca="1">Thermal!K154</f>
        <v>442.53139805735219</v>
      </c>
      <c r="L29" s="851">
        <f ca="1">Thermal!L154</f>
        <v>442.53139805735219</v>
      </c>
      <c r="M29" s="851">
        <f ca="1">Thermal!M154</f>
        <v>442.53139805735219</v>
      </c>
      <c r="N29" s="562"/>
    </row>
    <row r="30" spans="1:15" ht="13" x14ac:dyDescent="0.15">
      <c r="A30" s="26"/>
      <c r="G30" s="15"/>
      <c r="H30" s="15"/>
      <c r="I30" s="15"/>
      <c r="J30" s="15"/>
      <c r="K30" s="15"/>
      <c r="L30" s="15"/>
      <c r="M30" s="15"/>
      <c r="N30" s="562"/>
    </row>
    <row r="31" spans="1:15" x14ac:dyDescent="0.15">
      <c r="A31" s="26"/>
      <c r="B31" s="852" t="s">
        <v>154</v>
      </c>
      <c r="C31" s="346"/>
      <c r="D31" s="346"/>
      <c r="E31" s="346"/>
      <c r="F31" s="346"/>
      <c r="G31" s="850"/>
      <c r="H31" s="850"/>
      <c r="I31" s="850"/>
      <c r="J31" s="850"/>
      <c r="K31" s="850"/>
      <c r="L31" s="850"/>
      <c r="M31" s="850"/>
    </row>
    <row r="32" spans="1:15" ht="13" x14ac:dyDescent="0.15">
      <c r="A32" s="26"/>
      <c r="B32" s="346" t="s">
        <v>155</v>
      </c>
      <c r="C32" s="346"/>
      <c r="D32" s="346"/>
      <c r="E32" s="346"/>
      <c r="F32" s="346"/>
      <c r="G32" s="851">
        <f ca="1">'Battery Design'!G461+'Battery Design'!G468</f>
        <v>348.80416695884247</v>
      </c>
      <c r="H32" s="851">
        <f ca="1">'Battery Design'!H461</f>
        <v>347.60416695884248</v>
      </c>
      <c r="I32" s="851">
        <f ca="1">'Battery Design'!I461</f>
        <v>347.60416695884248</v>
      </c>
      <c r="J32" s="851">
        <f ca="1">'Battery Design'!J461</f>
        <v>347.60416695884248</v>
      </c>
      <c r="K32" s="851">
        <f ca="1">'Battery Design'!K461</f>
        <v>347.60416695884248</v>
      </c>
      <c r="L32" s="851">
        <f ca="1">'Battery Design'!L461</f>
        <v>347.60416695884248</v>
      </c>
      <c r="M32" s="851">
        <f ca="1">'Battery Design'!M461</f>
        <v>347.60416695884248</v>
      </c>
    </row>
    <row r="33" spans="1:15" ht="13" x14ac:dyDescent="0.15">
      <c r="A33" s="26"/>
      <c r="B33" s="346" t="s">
        <v>156</v>
      </c>
      <c r="C33" s="346"/>
      <c r="D33" s="346"/>
      <c r="E33" s="346"/>
      <c r="F33" s="346"/>
      <c r="G33" s="851">
        <f ca="1">'Battery Design'!G462+'Battery Design'!G467</f>
        <v>584.94758955313546</v>
      </c>
      <c r="H33" s="851">
        <f ca="1">'Battery Design'!H462</f>
        <v>581.94758955313546</v>
      </c>
      <c r="I33" s="851">
        <f ca="1">'Battery Design'!I462</f>
        <v>581.94758955313546</v>
      </c>
      <c r="J33" s="851">
        <f ca="1">'Battery Design'!J462</f>
        <v>581.94758955313546</v>
      </c>
      <c r="K33" s="851">
        <f ca="1">'Battery Design'!K462</f>
        <v>581.94758955313546</v>
      </c>
      <c r="L33" s="851">
        <f ca="1">'Battery Design'!L462</f>
        <v>581.94758955313546</v>
      </c>
      <c r="M33" s="851">
        <f ca="1">'Battery Design'!M462</f>
        <v>581.94758955313546</v>
      </c>
    </row>
    <row r="34" spans="1:15" ht="13" x14ac:dyDescent="0.15">
      <c r="A34" s="26"/>
      <c r="B34" s="346"/>
      <c r="C34" s="346"/>
      <c r="D34" s="346"/>
      <c r="E34" s="346"/>
      <c r="F34" s="346"/>
      <c r="G34" s="851"/>
      <c r="H34" s="851"/>
      <c r="I34" s="851"/>
      <c r="J34" s="851"/>
      <c r="K34" s="851"/>
      <c r="L34" s="851"/>
      <c r="M34" s="851"/>
    </row>
    <row r="35" spans="1:15" x14ac:dyDescent="0.15">
      <c r="A35" s="26"/>
      <c r="B35" s="852" t="s">
        <v>157</v>
      </c>
      <c r="C35" s="346"/>
      <c r="D35" s="346"/>
      <c r="E35" s="346"/>
      <c r="F35" s="346"/>
      <c r="G35" s="851"/>
      <c r="H35" s="851"/>
      <c r="I35" s="851"/>
      <c r="J35" s="851"/>
      <c r="K35" s="851"/>
      <c r="L35" s="851"/>
      <c r="M35" s="851"/>
    </row>
    <row r="36" spans="1:15" ht="13" x14ac:dyDescent="0.15">
      <c r="A36" s="26"/>
      <c r="B36" s="346" t="s">
        <v>158</v>
      </c>
      <c r="C36" s="346"/>
      <c r="D36" s="346"/>
      <c r="E36" s="346"/>
      <c r="F36" s="346"/>
      <c r="G36" s="851">
        <f ca="1">G22/G32*1000</f>
        <v>286.6938227026248</v>
      </c>
      <c r="H36" s="851">
        <f t="shared" ref="H36:M36" ca="1" si="1">H22/H32*1000</f>
        <v>287.68354785538418</v>
      </c>
      <c r="I36" s="851">
        <f t="shared" ca="1" si="1"/>
        <v>287.68354785538418</v>
      </c>
      <c r="J36" s="851">
        <f t="shared" ca="1" si="1"/>
        <v>287.68354785538418</v>
      </c>
      <c r="K36" s="851">
        <f t="shared" ca="1" si="1"/>
        <v>287.68354785538418</v>
      </c>
      <c r="L36" s="851">
        <f t="shared" ca="1" si="1"/>
        <v>287.68354785538418</v>
      </c>
      <c r="M36" s="851">
        <f t="shared" ca="1" si="1"/>
        <v>287.68354785538418</v>
      </c>
    </row>
    <row r="37" spans="1:15" ht="13" x14ac:dyDescent="0.15">
      <c r="A37" s="26"/>
      <c r="B37" s="346" t="s">
        <v>159</v>
      </c>
      <c r="C37" s="346"/>
      <c r="D37" s="346"/>
      <c r="E37" s="346"/>
      <c r="F37" s="346"/>
      <c r="G37" s="851">
        <f t="shared" ref="G37:M37" ca="1" si="2">G22/G33*1000</f>
        <v>170.95548692905817</v>
      </c>
      <c r="H37" s="851">
        <f t="shared" ca="1" si="2"/>
        <v>171.83678014170121</v>
      </c>
      <c r="I37" s="851">
        <f t="shared" ca="1" si="2"/>
        <v>171.83678014170121</v>
      </c>
      <c r="J37" s="851">
        <f t="shared" ca="1" si="2"/>
        <v>171.83678014170121</v>
      </c>
      <c r="K37" s="851">
        <f t="shared" ca="1" si="2"/>
        <v>171.83678014170121</v>
      </c>
      <c r="L37" s="851">
        <f t="shared" ca="1" si="2"/>
        <v>171.83678014170121</v>
      </c>
      <c r="M37" s="851">
        <f t="shared" ca="1" si="2"/>
        <v>171.83678014170121</v>
      </c>
    </row>
    <row r="38" spans="1:15" ht="15" x14ac:dyDescent="0.15">
      <c r="B38" s="346" t="s">
        <v>160</v>
      </c>
      <c r="G38" s="11">
        <f ca="1">G23/G32*1000</f>
        <v>243.68974929723106</v>
      </c>
      <c r="H38" s="11">
        <f t="shared" ref="H38:M38" ca="1" si="3">H23/H32*1000</f>
        <v>244.53101567707654</v>
      </c>
      <c r="I38" s="11">
        <f t="shared" ca="1" si="3"/>
        <v>244.53101567707654</v>
      </c>
      <c r="J38" s="11">
        <f t="shared" ca="1" si="3"/>
        <v>244.53101567707654</v>
      </c>
      <c r="K38" s="11">
        <f t="shared" ca="1" si="3"/>
        <v>244.53101567707654</v>
      </c>
      <c r="L38" s="11">
        <f t="shared" ca="1" si="3"/>
        <v>244.53101567707654</v>
      </c>
      <c r="M38" s="11">
        <f t="shared" ca="1" si="3"/>
        <v>244.53101567707654</v>
      </c>
      <c r="O38" s="346"/>
    </row>
    <row r="39" spans="1:15" ht="15" x14ac:dyDescent="0.15">
      <c r="B39" s="346" t="s">
        <v>161</v>
      </c>
      <c r="G39" s="11">
        <f ca="1">G23/G33*1000</f>
        <v>145.31216388969941</v>
      </c>
      <c r="H39" s="11">
        <f t="shared" ref="H39:M39" ca="1" si="4">H23/H33*1000</f>
        <v>146.061263120446</v>
      </c>
      <c r="I39" s="11">
        <f t="shared" ca="1" si="4"/>
        <v>146.061263120446</v>
      </c>
      <c r="J39" s="11">
        <f t="shared" ca="1" si="4"/>
        <v>146.061263120446</v>
      </c>
      <c r="K39" s="11">
        <f t="shared" ca="1" si="4"/>
        <v>146.061263120446</v>
      </c>
      <c r="L39" s="11">
        <f t="shared" ca="1" si="4"/>
        <v>146.061263120446</v>
      </c>
      <c r="M39" s="11">
        <f t="shared" ca="1" si="4"/>
        <v>146.061263120446</v>
      </c>
      <c r="O39" s="346"/>
    </row>
    <row r="40" spans="1:15" x14ac:dyDescent="0.15">
      <c r="G40" s="15"/>
      <c r="H40" s="15"/>
      <c r="I40" s="15"/>
      <c r="J40" s="15"/>
      <c r="K40" s="15"/>
      <c r="L40" s="15"/>
      <c r="M40" s="15"/>
      <c r="O40" s="346"/>
    </row>
    <row r="41" spans="1:15" ht="16" x14ac:dyDescent="0.2">
      <c r="A41" s="26"/>
      <c r="B41" s="5" t="s">
        <v>162</v>
      </c>
      <c r="G41" s="15"/>
      <c r="H41" s="15"/>
      <c r="I41" s="15"/>
      <c r="J41" s="15"/>
      <c r="K41" s="15"/>
      <c r="L41" s="15"/>
      <c r="M41" s="15"/>
      <c r="O41" s="346"/>
    </row>
    <row r="42" spans="1:15" x14ac:dyDescent="0.15">
      <c r="A42" s="26"/>
      <c r="B42" s="507" t="s">
        <v>163</v>
      </c>
      <c r="G42" s="15"/>
      <c r="H42" s="15"/>
      <c r="I42" s="15"/>
      <c r="J42" s="15"/>
      <c r="K42" s="15"/>
      <c r="L42" s="15"/>
      <c r="M42" s="15"/>
      <c r="O42" s="346"/>
    </row>
    <row r="43" spans="1:15" ht="13" x14ac:dyDescent="0.15">
      <c r="A43" s="26">
        <v>9</v>
      </c>
      <c r="B43" s="346" t="s">
        <v>164</v>
      </c>
      <c r="C43" s="346"/>
      <c r="D43" s="346"/>
      <c r="E43" s="346"/>
      <c r="F43" s="346"/>
      <c r="G43" s="851">
        <f>'Battery Design'!G31</f>
        <v>400</v>
      </c>
      <c r="H43" s="851">
        <f>'Battery Design'!H31</f>
        <v>400</v>
      </c>
      <c r="I43" s="851">
        <f>'Battery Design'!I31</f>
        <v>400</v>
      </c>
      <c r="J43" s="851">
        <f>'Battery Design'!J31</f>
        <v>400</v>
      </c>
      <c r="K43" s="851">
        <f>'Battery Design'!K31</f>
        <v>400</v>
      </c>
      <c r="L43" s="851">
        <f>'Battery Design'!L31</f>
        <v>400</v>
      </c>
      <c r="M43" s="851">
        <f>'Battery Design'!M31</f>
        <v>400</v>
      </c>
      <c r="O43" s="346"/>
    </row>
    <row r="44" spans="1:15" ht="13" x14ac:dyDescent="0.15">
      <c r="A44" s="26">
        <v>8</v>
      </c>
      <c r="B44" s="346" t="s">
        <v>165</v>
      </c>
      <c r="C44" s="346"/>
      <c r="D44" s="346"/>
      <c r="E44" s="346"/>
      <c r="F44" s="346"/>
      <c r="G44" s="851">
        <f>'Battery Design'!G29</f>
        <v>20</v>
      </c>
      <c r="H44" s="851">
        <f>'Battery Design'!H29</f>
        <v>20</v>
      </c>
      <c r="I44" s="851">
        <f>'Battery Design'!I29</f>
        <v>20</v>
      </c>
      <c r="J44" s="851">
        <f>'Battery Design'!J29</f>
        <v>20</v>
      </c>
      <c r="K44" s="851">
        <f>'Battery Design'!K29</f>
        <v>20</v>
      </c>
      <c r="L44" s="851">
        <f>'Battery Design'!L29</f>
        <v>20</v>
      </c>
      <c r="M44" s="851">
        <f>'Battery Design'!M29</f>
        <v>20</v>
      </c>
      <c r="O44" s="346"/>
    </row>
    <row r="45" spans="1:15" ht="13" x14ac:dyDescent="0.15">
      <c r="A45" s="26"/>
      <c r="B45" s="346" t="s">
        <v>166</v>
      </c>
      <c r="C45" s="346"/>
      <c r="D45" s="346"/>
      <c r="E45" s="346"/>
      <c r="F45" s="346"/>
      <c r="G45" s="849">
        <f ca="1">'Battery Design'!G366</f>
        <v>370.46640670027602</v>
      </c>
      <c r="H45" s="849">
        <f ca="1">'Battery Design'!H366</f>
        <v>370.46640670027602</v>
      </c>
      <c r="I45" s="849">
        <f ca="1">'Battery Design'!I366</f>
        <v>370.46640670027602</v>
      </c>
      <c r="J45" s="849">
        <f ca="1">'Battery Design'!J366</f>
        <v>370.46640670027602</v>
      </c>
      <c r="K45" s="849">
        <f ca="1">'Battery Design'!K366</f>
        <v>370.46640670027602</v>
      </c>
      <c r="L45" s="849">
        <f ca="1">'Battery Design'!L366</f>
        <v>370.46640670027602</v>
      </c>
      <c r="M45" s="849">
        <f ca="1">'Battery Design'!M366</f>
        <v>370.46640670027602</v>
      </c>
      <c r="O45" s="346"/>
    </row>
    <row r="46" spans="1:15" ht="13" x14ac:dyDescent="0.15">
      <c r="A46" s="26"/>
      <c r="B46" s="346" t="s">
        <v>167</v>
      </c>
      <c r="C46" s="346"/>
      <c r="D46" s="346"/>
      <c r="E46" s="346"/>
      <c r="F46" s="346"/>
      <c r="G46" s="849">
        <f ca="1">'Battery Design'!G365</f>
        <v>367.97329287237079</v>
      </c>
      <c r="H46" s="849">
        <f ca="1">'Battery Design'!H365</f>
        <v>367.97329287237079</v>
      </c>
      <c r="I46" s="849">
        <f ca="1">'Battery Design'!I365</f>
        <v>367.97329287237079</v>
      </c>
      <c r="J46" s="849">
        <f ca="1">'Battery Design'!J365</f>
        <v>367.97329287237079</v>
      </c>
      <c r="K46" s="849">
        <f ca="1">'Battery Design'!K365</f>
        <v>367.97329287237079</v>
      </c>
      <c r="L46" s="849">
        <f ca="1">'Battery Design'!L365</f>
        <v>367.97329287237079</v>
      </c>
      <c r="M46" s="849">
        <f ca="1">'Battery Design'!M365</f>
        <v>367.97329287237079</v>
      </c>
      <c r="O46" s="346"/>
    </row>
    <row r="47" spans="1:15" x14ac:dyDescent="0.15">
      <c r="B47" s="346" t="s">
        <v>168</v>
      </c>
      <c r="C47" s="346"/>
      <c r="D47" s="346"/>
      <c r="E47" s="346"/>
      <c r="F47" s="346"/>
      <c r="G47" s="849">
        <f ca="1">'Battery Design'!G478</f>
        <v>271.75885298472832</v>
      </c>
      <c r="H47" s="849">
        <f ca="1">'Battery Design'!H478</f>
        <v>271.75885298472832</v>
      </c>
      <c r="I47" s="849">
        <f ca="1">'Battery Design'!I478</f>
        <v>271.75885298472832</v>
      </c>
      <c r="J47" s="849">
        <f ca="1">'Battery Design'!J478</f>
        <v>271.75885298472832</v>
      </c>
      <c r="K47" s="849">
        <f ca="1">'Battery Design'!K478</f>
        <v>271.75885298472832</v>
      </c>
      <c r="L47" s="849">
        <f ca="1">'Battery Design'!L478</f>
        <v>271.75885298472832</v>
      </c>
      <c r="M47" s="849">
        <f ca="1">'Battery Design'!M478</f>
        <v>271.75885298472832</v>
      </c>
      <c r="O47" s="346"/>
    </row>
    <row r="48" spans="1:15" ht="13" x14ac:dyDescent="0.15">
      <c r="A48" s="26"/>
      <c r="B48" s="346" t="s">
        <v>169</v>
      </c>
      <c r="C48" s="346"/>
      <c r="D48" s="346"/>
      <c r="E48" s="346"/>
      <c r="F48" s="346"/>
      <c r="G48" s="849">
        <f ca="1">G47*G46/1000</f>
        <v>100.000000000009</v>
      </c>
      <c r="H48" s="849">
        <f t="shared" ref="H48:M48" ca="1" si="5">H47*H46/1000</f>
        <v>100.000000000009</v>
      </c>
      <c r="I48" s="849">
        <f t="shared" ca="1" si="5"/>
        <v>100.000000000009</v>
      </c>
      <c r="J48" s="849">
        <f t="shared" ca="1" si="5"/>
        <v>100.000000000009</v>
      </c>
      <c r="K48" s="849">
        <f t="shared" ca="1" si="5"/>
        <v>100.000000000009</v>
      </c>
      <c r="L48" s="849">
        <f t="shared" ca="1" si="5"/>
        <v>100.000000000009</v>
      </c>
      <c r="M48" s="849">
        <f t="shared" ca="1" si="5"/>
        <v>100.000000000009</v>
      </c>
      <c r="O48" s="346"/>
    </row>
    <row r="49" spans="1:15" ht="15" x14ac:dyDescent="0.15">
      <c r="A49" s="26"/>
      <c r="B49" s="346" t="s">
        <v>170</v>
      </c>
      <c r="C49" s="346"/>
      <c r="D49" s="346"/>
      <c r="E49" s="346"/>
      <c r="F49" s="346"/>
      <c r="G49" s="831">
        <f ca="1">G48*('Battery Design'!G473/100)</f>
        <v>85.000000000007645</v>
      </c>
      <c r="H49" s="831">
        <f ca="1">H48*('Battery Design'!H473/100)</f>
        <v>85.000000000007645</v>
      </c>
      <c r="I49" s="831">
        <f ca="1">I48*('Battery Design'!I473/100)</f>
        <v>85.000000000007645</v>
      </c>
      <c r="J49" s="831">
        <f ca="1">J48*('Battery Design'!J473/100)</f>
        <v>85.000000000007645</v>
      </c>
      <c r="K49" s="831">
        <f ca="1">K48*('Battery Design'!K473/100)</f>
        <v>85.000000000007645</v>
      </c>
      <c r="L49" s="831">
        <f ca="1">L48*('Battery Design'!L473/100)</f>
        <v>85.000000000007645</v>
      </c>
      <c r="M49" s="831">
        <f ca="1">M48*('Battery Design'!M473/100)</f>
        <v>85.000000000007645</v>
      </c>
      <c r="O49" s="346"/>
    </row>
    <row r="50" spans="1:15" ht="13" x14ac:dyDescent="0.15">
      <c r="A50" s="26"/>
      <c r="B50" s="346" t="s">
        <v>171</v>
      </c>
      <c r="C50" s="346"/>
      <c r="D50" s="346"/>
      <c r="E50" s="346"/>
      <c r="F50" s="346"/>
      <c r="G50" s="849">
        <f ca="1">'Battery Design'!G490</f>
        <v>843.4174542613448</v>
      </c>
      <c r="H50" s="849">
        <f ca="1">'Battery Design'!H490</f>
        <v>843.4174542613448</v>
      </c>
      <c r="I50" s="849">
        <f ca="1">'Battery Design'!I490</f>
        <v>843.4174542613448</v>
      </c>
      <c r="J50" s="849">
        <f ca="1">'Battery Design'!J490</f>
        <v>843.4174542613448</v>
      </c>
      <c r="K50" s="849">
        <f ca="1">'Battery Design'!K490</f>
        <v>843.4174542613448</v>
      </c>
      <c r="L50" s="849">
        <f ca="1">'Battery Design'!L490</f>
        <v>843.4174542613448</v>
      </c>
      <c r="M50" s="849">
        <f ca="1">'Battery Design'!M490</f>
        <v>843.4174542613448</v>
      </c>
      <c r="O50" s="346"/>
    </row>
    <row r="51" spans="1:15" ht="13" x14ac:dyDescent="0.15">
      <c r="A51" s="26"/>
      <c r="B51" s="346" t="s">
        <v>172</v>
      </c>
      <c r="C51" s="346"/>
      <c r="D51" s="346"/>
      <c r="E51" s="346"/>
      <c r="F51" s="346"/>
      <c r="G51" s="849">
        <f ca="1">'Battery Design'!G368</f>
        <v>299.99999999992571</v>
      </c>
      <c r="H51" s="849">
        <f ca="1">'Battery Design'!H368</f>
        <v>299.99999999992571</v>
      </c>
      <c r="I51" s="849">
        <f ca="1">'Battery Design'!I368</f>
        <v>299.99999999992571</v>
      </c>
      <c r="J51" s="849">
        <f ca="1">'Battery Design'!J368</f>
        <v>299.99999999992571</v>
      </c>
      <c r="K51" s="849">
        <f ca="1">'Battery Design'!K368</f>
        <v>299.99999999992571</v>
      </c>
      <c r="L51" s="849">
        <f ca="1">'Battery Design'!L368</f>
        <v>299.99999999992571</v>
      </c>
      <c r="M51" s="849">
        <f ca="1">'Battery Design'!M368</f>
        <v>299.99999999992571</v>
      </c>
      <c r="O51" s="346"/>
    </row>
    <row r="52" spans="1:15" ht="13" x14ac:dyDescent="0.15">
      <c r="A52" s="26"/>
      <c r="B52" s="346"/>
      <c r="C52" s="346"/>
      <c r="D52" s="346"/>
      <c r="E52" s="346"/>
      <c r="F52" s="346"/>
      <c r="G52" s="849"/>
      <c r="H52" s="849"/>
      <c r="I52" s="849"/>
      <c r="J52" s="849"/>
      <c r="K52" s="849"/>
      <c r="L52" s="849"/>
      <c r="M52" s="849"/>
      <c r="O52" s="346"/>
    </row>
    <row r="53" spans="1:15" x14ac:dyDescent="0.15">
      <c r="A53" s="26"/>
      <c r="B53" s="507" t="s">
        <v>173</v>
      </c>
      <c r="G53" s="11"/>
      <c r="H53" s="11"/>
      <c r="I53" s="11"/>
      <c r="J53" s="11"/>
      <c r="K53" s="11"/>
      <c r="L53" s="11"/>
      <c r="M53" s="11"/>
      <c r="O53" s="346"/>
    </row>
    <row r="54" spans="1:15" ht="13" x14ac:dyDescent="0.15">
      <c r="A54" s="26">
        <v>26</v>
      </c>
      <c r="B54" s="8" t="s">
        <v>174</v>
      </c>
      <c r="G54" s="11">
        <f ca="1">'Battery Design'!G415</f>
        <v>2154.2127918567944</v>
      </c>
      <c r="H54" s="11">
        <f ca="1">'Battery Design'!H415</f>
        <v>2154.2127918567944</v>
      </c>
      <c r="I54" s="11">
        <f ca="1">'Battery Design'!I415</f>
        <v>2154.2127918567944</v>
      </c>
      <c r="J54" s="11">
        <f ca="1">'Battery Design'!J415</f>
        <v>2154.2127918567944</v>
      </c>
      <c r="K54" s="11">
        <f ca="1">'Battery Design'!K415</f>
        <v>2154.2127918567944</v>
      </c>
      <c r="L54" s="11">
        <f ca="1">'Battery Design'!L415</f>
        <v>2154.2127918567944</v>
      </c>
      <c r="M54" s="11">
        <f ca="1">'Battery Design'!M415</f>
        <v>2154.2127918567944</v>
      </c>
      <c r="O54" s="346"/>
    </row>
    <row r="55" spans="1:15" ht="13" x14ac:dyDescent="0.15">
      <c r="A55" s="26">
        <v>27</v>
      </c>
      <c r="B55" s="8" t="s">
        <v>175</v>
      </c>
      <c r="G55" s="11">
        <f ca="1">'Battery Design'!G416</f>
        <v>1317.4994734560787</v>
      </c>
      <c r="H55" s="11">
        <f ca="1">'Battery Design'!H416</f>
        <v>1317.4994734560787</v>
      </c>
      <c r="I55" s="11">
        <f ca="1">'Battery Design'!I416</f>
        <v>1317.4994734560787</v>
      </c>
      <c r="J55" s="11">
        <f ca="1">'Battery Design'!J416</f>
        <v>1317.4994734560787</v>
      </c>
      <c r="K55" s="11">
        <f ca="1">'Battery Design'!K416</f>
        <v>1317.4994734560787</v>
      </c>
      <c r="L55" s="11">
        <f ca="1">'Battery Design'!L416</f>
        <v>1317.4994734560787</v>
      </c>
      <c r="M55" s="11">
        <f ca="1">'Battery Design'!M416</f>
        <v>1317.4994734560787</v>
      </c>
      <c r="O55" s="346"/>
    </row>
    <row r="56" spans="1:15" ht="13" x14ac:dyDescent="0.15">
      <c r="A56" s="26">
        <v>28</v>
      </c>
      <c r="B56" s="8" t="s">
        <v>176</v>
      </c>
      <c r="G56" s="11">
        <f ca="1">'Battery Design'!G417</f>
        <v>121.20098711981888</v>
      </c>
      <c r="H56" s="11">
        <f ca="1">'Battery Design'!H417</f>
        <v>121.20098711981888</v>
      </c>
      <c r="I56" s="11">
        <f ca="1">'Battery Design'!I417</f>
        <v>121.20098711981888</v>
      </c>
      <c r="J56" s="11">
        <f ca="1">'Battery Design'!J417</f>
        <v>121.20098711981888</v>
      </c>
      <c r="K56" s="11">
        <f ca="1">'Battery Design'!K417</f>
        <v>121.20098711981888</v>
      </c>
      <c r="L56" s="11">
        <f ca="1">'Battery Design'!L417</f>
        <v>121.20098711981888</v>
      </c>
      <c r="M56" s="11">
        <f ca="1">'Battery Design'!M417</f>
        <v>121.20098711981888</v>
      </c>
    </row>
    <row r="57" spans="1:15" ht="13" x14ac:dyDescent="0.15">
      <c r="A57" s="26">
        <v>10</v>
      </c>
      <c r="B57" s="346" t="s">
        <v>177</v>
      </c>
      <c r="C57" s="346"/>
      <c r="D57" s="346"/>
      <c r="E57" s="346"/>
      <c r="F57" s="346"/>
      <c r="G57" s="849">
        <f ca="1">'Battery Design'!G452</f>
        <v>347.60416695884248</v>
      </c>
      <c r="H57" s="849">
        <f ca="1">'Battery Design'!H452</f>
        <v>347.60416695884248</v>
      </c>
      <c r="I57" s="849">
        <f ca="1">'Battery Design'!I452</f>
        <v>347.60416695884248</v>
      </c>
      <c r="J57" s="849">
        <f ca="1">'Battery Design'!J452</f>
        <v>347.60416695884248</v>
      </c>
      <c r="K57" s="849">
        <f ca="1">'Battery Design'!K452</f>
        <v>347.60416695884248</v>
      </c>
      <c r="L57" s="849">
        <f ca="1">'Battery Design'!L452</f>
        <v>347.60416695884248</v>
      </c>
      <c r="M57" s="849">
        <f ca="1">'Battery Design'!M452</f>
        <v>347.60416695884248</v>
      </c>
    </row>
    <row r="58" spans="1:15" ht="13" x14ac:dyDescent="0.15">
      <c r="A58" s="26">
        <v>11</v>
      </c>
      <c r="B58" s="346" t="s">
        <v>178</v>
      </c>
      <c r="C58" s="346"/>
      <c r="D58" s="346"/>
      <c r="E58" s="346"/>
      <c r="F58" s="346"/>
      <c r="G58" s="849">
        <f ca="1">'Battery Design'!G460</f>
        <v>581.94758955313546</v>
      </c>
      <c r="H58" s="849">
        <f ca="1">'Battery Design'!H460</f>
        <v>581.94758955313546</v>
      </c>
      <c r="I58" s="849">
        <f ca="1">'Battery Design'!I460</f>
        <v>581.94758955313546</v>
      </c>
      <c r="J58" s="849">
        <f ca="1">'Battery Design'!J460</f>
        <v>581.94758955313546</v>
      </c>
      <c r="K58" s="849">
        <f ca="1">'Battery Design'!K460</f>
        <v>581.94758955313546</v>
      </c>
      <c r="L58" s="849">
        <f ca="1">'Battery Design'!L460</f>
        <v>581.94758955313546</v>
      </c>
      <c r="M58" s="849">
        <f ca="1">'Battery Design'!M460</f>
        <v>581.94758955313546</v>
      </c>
      <c r="O58" s="346"/>
    </row>
    <row r="59" spans="1:15" ht="13" x14ac:dyDescent="0.15">
      <c r="A59" s="26"/>
      <c r="B59" s="346"/>
      <c r="C59" s="346"/>
      <c r="D59" s="346"/>
      <c r="E59" s="346"/>
      <c r="F59" s="346"/>
      <c r="G59" s="481"/>
      <c r="H59" s="481"/>
      <c r="I59" s="481"/>
      <c r="J59" s="481"/>
      <c r="K59" s="481"/>
      <c r="L59" s="481"/>
      <c r="M59" s="481"/>
      <c r="O59" s="346"/>
    </row>
    <row r="60" spans="1:15" x14ac:dyDescent="0.15">
      <c r="A60" s="26"/>
      <c r="B60" s="507" t="s">
        <v>179</v>
      </c>
      <c r="C60" s="346"/>
      <c r="D60" s="346"/>
      <c r="E60" s="346"/>
      <c r="F60" s="346"/>
      <c r="G60" s="481"/>
      <c r="H60" s="481"/>
      <c r="I60" s="481"/>
      <c r="J60" s="481"/>
      <c r="K60" s="481"/>
      <c r="L60" s="481"/>
      <c r="M60" s="481"/>
      <c r="O60" s="346"/>
    </row>
    <row r="61" spans="1:15" ht="13" x14ac:dyDescent="0.15">
      <c r="A61" s="26"/>
      <c r="B61" s="8" t="s">
        <v>180</v>
      </c>
      <c r="G61" s="15">
        <f t="shared" ref="G61:M61" ca="1" si="6">G50/G48</f>
        <v>8.4341745426126895</v>
      </c>
      <c r="H61" s="15">
        <f t="shared" ca="1" si="6"/>
        <v>8.4341745426126895</v>
      </c>
      <c r="I61" s="15">
        <f t="shared" ca="1" si="6"/>
        <v>8.4341745426126895</v>
      </c>
      <c r="J61" s="15">
        <f t="shared" ca="1" si="6"/>
        <v>8.4341745426126895</v>
      </c>
      <c r="K61" s="15">
        <f t="shared" ca="1" si="6"/>
        <v>8.4341745426126895</v>
      </c>
      <c r="L61" s="15">
        <f t="shared" ca="1" si="6"/>
        <v>8.4341745426126895</v>
      </c>
      <c r="M61" s="15">
        <f t="shared" ca="1" si="6"/>
        <v>8.4341745426126895</v>
      </c>
    </row>
    <row r="62" spans="1:15" ht="13" x14ac:dyDescent="0.15">
      <c r="A62" s="26">
        <v>5</v>
      </c>
      <c r="B62" s="8" t="s">
        <v>181</v>
      </c>
      <c r="G62" s="15">
        <f t="shared" ref="G62:M62" ca="1" si="7">G51/G48</f>
        <v>2.999999999998987</v>
      </c>
      <c r="H62" s="15">
        <f t="shared" ca="1" si="7"/>
        <v>2.999999999998987</v>
      </c>
      <c r="I62" s="15">
        <f t="shared" ca="1" si="7"/>
        <v>2.999999999998987</v>
      </c>
      <c r="J62" s="15">
        <f t="shared" ca="1" si="7"/>
        <v>2.999999999998987</v>
      </c>
      <c r="K62" s="15">
        <f t="shared" ca="1" si="7"/>
        <v>2.999999999998987</v>
      </c>
      <c r="L62" s="15">
        <f t="shared" ca="1" si="7"/>
        <v>2.999999999998987</v>
      </c>
      <c r="M62" s="15">
        <f t="shared" ca="1" si="7"/>
        <v>2.999999999998987</v>
      </c>
    </row>
    <row r="63" spans="1:15" ht="13" x14ac:dyDescent="0.15">
      <c r="A63" s="26">
        <v>6</v>
      </c>
      <c r="B63" s="346" t="s">
        <v>182</v>
      </c>
      <c r="C63" s="346"/>
      <c r="D63" s="346"/>
      <c r="E63" s="346"/>
      <c r="F63" s="346"/>
      <c r="G63" s="849">
        <f t="shared" ref="G63:M63" ca="1" si="8">G48*1000/G57</f>
        <v>287.68354785530903</v>
      </c>
      <c r="H63" s="849">
        <f t="shared" ca="1" si="8"/>
        <v>287.68354785530903</v>
      </c>
      <c r="I63" s="849">
        <f t="shared" ca="1" si="8"/>
        <v>287.68354785530903</v>
      </c>
      <c r="J63" s="849">
        <f t="shared" ca="1" si="8"/>
        <v>287.68354785530903</v>
      </c>
      <c r="K63" s="849">
        <f t="shared" ca="1" si="8"/>
        <v>287.68354785530903</v>
      </c>
      <c r="L63" s="849">
        <f t="shared" ca="1" si="8"/>
        <v>287.68354785530903</v>
      </c>
      <c r="M63" s="849">
        <f t="shared" ca="1" si="8"/>
        <v>287.68354785530903</v>
      </c>
    </row>
    <row r="64" spans="1:15" ht="13" x14ac:dyDescent="0.15">
      <c r="A64" s="26">
        <v>7</v>
      </c>
      <c r="B64" s="346" t="s">
        <v>183</v>
      </c>
      <c r="C64" s="346"/>
      <c r="D64" s="346"/>
      <c r="E64" s="346"/>
      <c r="F64" s="346"/>
      <c r="G64" s="849">
        <f t="shared" ref="G64:M64" ca="1" si="9">G48*1000/G58</f>
        <v>171.83678014165633</v>
      </c>
      <c r="H64" s="849">
        <f t="shared" ca="1" si="9"/>
        <v>171.83678014165633</v>
      </c>
      <c r="I64" s="849">
        <f t="shared" ca="1" si="9"/>
        <v>171.83678014165633</v>
      </c>
      <c r="J64" s="849">
        <f t="shared" ca="1" si="9"/>
        <v>171.83678014165633</v>
      </c>
      <c r="K64" s="849">
        <f t="shared" ca="1" si="9"/>
        <v>171.83678014165633</v>
      </c>
      <c r="L64" s="849">
        <f t="shared" ca="1" si="9"/>
        <v>171.83678014165633</v>
      </c>
      <c r="M64" s="849">
        <f t="shared" ca="1" si="9"/>
        <v>171.83678014165633</v>
      </c>
    </row>
    <row r="65" spans="1:13" ht="15" x14ac:dyDescent="0.15">
      <c r="A65" s="26"/>
      <c r="B65" s="346" t="s">
        <v>184</v>
      </c>
      <c r="C65" s="346"/>
      <c r="D65" s="346"/>
      <c r="E65" s="346"/>
      <c r="F65" s="346"/>
      <c r="G65" s="849">
        <f t="shared" ref="G65:M65" ca="1" si="10">G49/G57*1000</f>
        <v>244.53101567701268</v>
      </c>
      <c r="H65" s="849">
        <f t="shared" ca="1" si="10"/>
        <v>244.53101567701268</v>
      </c>
      <c r="I65" s="849">
        <f t="shared" ca="1" si="10"/>
        <v>244.53101567701268</v>
      </c>
      <c r="J65" s="849">
        <f t="shared" ca="1" si="10"/>
        <v>244.53101567701268</v>
      </c>
      <c r="K65" s="849">
        <f t="shared" ca="1" si="10"/>
        <v>244.53101567701268</v>
      </c>
      <c r="L65" s="849">
        <f t="shared" ca="1" si="10"/>
        <v>244.53101567701268</v>
      </c>
      <c r="M65" s="849">
        <f t="shared" ca="1" si="10"/>
        <v>244.53101567701268</v>
      </c>
    </row>
    <row r="66" spans="1:13" ht="15" x14ac:dyDescent="0.15">
      <c r="A66" s="26"/>
      <c r="B66" s="346" t="s">
        <v>185</v>
      </c>
      <c r="C66" s="346"/>
      <c r="D66" s="346"/>
      <c r="E66" s="346"/>
      <c r="F66" s="346"/>
      <c r="G66" s="849">
        <f t="shared" ref="G66:M66" ca="1" si="11">G49/G58*1000</f>
        <v>146.06126312040789</v>
      </c>
      <c r="H66" s="849">
        <f t="shared" ca="1" si="11"/>
        <v>146.06126312040789</v>
      </c>
      <c r="I66" s="849">
        <f t="shared" ca="1" si="11"/>
        <v>146.06126312040789</v>
      </c>
      <c r="J66" s="849">
        <f t="shared" ca="1" si="11"/>
        <v>146.06126312040789</v>
      </c>
      <c r="K66" s="849">
        <f t="shared" ca="1" si="11"/>
        <v>146.06126312040789</v>
      </c>
      <c r="L66" s="849">
        <f t="shared" ca="1" si="11"/>
        <v>146.06126312040789</v>
      </c>
      <c r="M66" s="849">
        <f t="shared" ca="1" si="11"/>
        <v>146.06126312040789</v>
      </c>
    </row>
    <row r="67" spans="1:13" x14ac:dyDescent="0.15">
      <c r="A67" s="26"/>
      <c r="B67" s="346" t="s">
        <v>186</v>
      </c>
      <c r="C67" s="346"/>
      <c r="D67" s="346"/>
      <c r="E67" s="346"/>
      <c r="F67" s="346"/>
      <c r="G67" s="481">
        <f ca="1">G58/G57</f>
        <v>1.6741674722847613</v>
      </c>
      <c r="H67" s="481">
        <f t="shared" ref="H67:M67" ca="1" si="12">H58/H57</f>
        <v>1.6741674722847613</v>
      </c>
      <c r="I67" s="481">
        <f t="shared" ca="1" si="12"/>
        <v>1.6741674722847613</v>
      </c>
      <c r="J67" s="481">
        <f t="shared" ca="1" si="12"/>
        <v>1.6741674722847613</v>
      </c>
      <c r="K67" s="481">
        <f t="shared" ca="1" si="12"/>
        <v>1.6741674722847613</v>
      </c>
      <c r="L67" s="481">
        <f t="shared" ca="1" si="12"/>
        <v>1.6741674722847613</v>
      </c>
      <c r="M67" s="481">
        <f t="shared" ca="1" si="12"/>
        <v>1.6741674722847613</v>
      </c>
    </row>
    <row r="68" spans="1:13" ht="13" x14ac:dyDescent="0.15">
      <c r="A68" s="26"/>
    </row>
    <row r="69" spans="1:13" ht="16" x14ac:dyDescent="0.2">
      <c r="A69" s="26"/>
      <c r="B69" s="5" t="s">
        <v>187</v>
      </c>
    </row>
    <row r="70" spans="1:13" x14ac:dyDescent="0.15">
      <c r="A70" s="26"/>
      <c r="B70" s="507" t="s">
        <v>188</v>
      </c>
    </row>
    <row r="71" spans="1:13" ht="13" x14ac:dyDescent="0.15">
      <c r="A71" s="26"/>
      <c r="B71" s="346" t="s">
        <v>189</v>
      </c>
      <c r="G71" s="11">
        <f>'Battery Design'!G25</f>
        <v>20</v>
      </c>
      <c r="H71" s="11">
        <f>'Battery Design'!H25</f>
        <v>20</v>
      </c>
      <c r="I71" s="11">
        <f>'Battery Design'!I25</f>
        <v>20</v>
      </c>
      <c r="J71" s="11">
        <f>'Battery Design'!J25</f>
        <v>20</v>
      </c>
      <c r="K71" s="11">
        <f>'Battery Design'!K25</f>
        <v>20</v>
      </c>
      <c r="L71" s="11">
        <f>'Battery Design'!L25</f>
        <v>20</v>
      </c>
      <c r="M71" s="11">
        <f>'Battery Design'!M25</f>
        <v>20</v>
      </c>
    </row>
    <row r="72" spans="1:13" ht="13" x14ac:dyDescent="0.15">
      <c r="A72" s="26"/>
      <c r="B72" s="346" t="s">
        <v>190</v>
      </c>
      <c r="G72" s="66">
        <f ca="1">'Battery Design'!G155*'Battery Design'!G25/'Battery Design'!G26</f>
        <v>37.046640670027607</v>
      </c>
      <c r="H72" s="66">
        <f ca="1">'Battery Design'!H155*'Battery Design'!H25/'Battery Design'!H26</f>
        <v>37.046640670027607</v>
      </c>
      <c r="I72" s="66">
        <f ca="1">'Battery Design'!I155*'Battery Design'!I25/'Battery Design'!I26</f>
        <v>37.046640670027607</v>
      </c>
      <c r="J72" s="66">
        <f ca="1">'Battery Design'!J155*'Battery Design'!J25/'Battery Design'!J26</f>
        <v>37.046640670027607</v>
      </c>
      <c r="K72" s="66">
        <f ca="1">'Battery Design'!K155*'Battery Design'!K25/'Battery Design'!K26</f>
        <v>37.046640670027607</v>
      </c>
      <c r="L72" s="66">
        <f ca="1">'Battery Design'!L155*'Battery Design'!L25/'Battery Design'!L26</f>
        <v>37.046640670027607</v>
      </c>
      <c r="M72" s="66">
        <f ca="1">'Battery Design'!M155*'Battery Design'!M25/'Battery Design'!M26</f>
        <v>37.046640670027607</v>
      </c>
    </row>
    <row r="73" spans="1:13" ht="13" x14ac:dyDescent="0.15">
      <c r="A73" s="26"/>
      <c r="B73" s="346" t="s">
        <v>191</v>
      </c>
      <c r="G73" s="66">
        <f ca="1">G46/('Battery Design'!G29/'Battery Design'!G30)</f>
        <v>36.797329287237076</v>
      </c>
      <c r="H73" s="66">
        <f ca="1">H46/('Battery Design'!H29/'Battery Design'!H30)</f>
        <v>36.797329287237076</v>
      </c>
      <c r="I73" s="66">
        <f ca="1">I46/('Battery Design'!I29/'Battery Design'!I30)</f>
        <v>36.797329287237076</v>
      </c>
      <c r="J73" s="66">
        <f ca="1">J46/('Battery Design'!J29/'Battery Design'!J30)</f>
        <v>36.797329287237076</v>
      </c>
      <c r="K73" s="66">
        <f ca="1">K46/('Battery Design'!K29/'Battery Design'!K30)</f>
        <v>36.797329287237076</v>
      </c>
      <c r="L73" s="66">
        <f ca="1">L46/('Battery Design'!L29/'Battery Design'!L30)</f>
        <v>36.797329287237076</v>
      </c>
      <c r="M73" s="66">
        <f ca="1">M46/('Battery Design'!M29/'Battery Design'!M30)</f>
        <v>36.797329287237076</v>
      </c>
    </row>
    <row r="74" spans="1:13" ht="13" x14ac:dyDescent="0.15">
      <c r="A74" s="26"/>
      <c r="B74" s="346" t="s">
        <v>192</v>
      </c>
      <c r="G74" s="11">
        <f ca="1">'Battery Design'!G316</f>
        <v>135.87942649237613</v>
      </c>
      <c r="H74" s="11">
        <f ca="1">'Battery Design'!H316</f>
        <v>135.87942649237613</v>
      </c>
      <c r="I74" s="11">
        <f ca="1">'Battery Design'!I316</f>
        <v>135.87942649237613</v>
      </c>
      <c r="J74" s="11">
        <f ca="1">'Battery Design'!J316</f>
        <v>135.87942649237613</v>
      </c>
      <c r="K74" s="11">
        <f ca="1">'Battery Design'!K316</f>
        <v>135.87942649237613</v>
      </c>
      <c r="L74" s="11">
        <f ca="1">'Battery Design'!L316</f>
        <v>135.87942649237613</v>
      </c>
      <c r="M74" s="11">
        <f ca="1">'Battery Design'!M316</f>
        <v>135.87942649237613</v>
      </c>
    </row>
    <row r="75" spans="1:13" ht="13" x14ac:dyDescent="0.15">
      <c r="A75" s="26"/>
      <c r="B75" s="346" t="s">
        <v>193</v>
      </c>
      <c r="G75" s="66">
        <f ca="1">G74*G73/1000</f>
        <v>5.0000000000008891</v>
      </c>
      <c r="H75" s="66">
        <f t="shared" ref="H75:M75" ca="1" si="13">H74*H73/1000</f>
        <v>5.0000000000008891</v>
      </c>
      <c r="I75" s="66">
        <f t="shared" ca="1" si="13"/>
        <v>5.0000000000008891</v>
      </c>
      <c r="J75" s="66">
        <f t="shared" ca="1" si="13"/>
        <v>5.0000000000008891</v>
      </c>
      <c r="K75" s="66">
        <f t="shared" ca="1" si="13"/>
        <v>5.0000000000008891</v>
      </c>
      <c r="L75" s="66">
        <f t="shared" ca="1" si="13"/>
        <v>5.0000000000008891</v>
      </c>
      <c r="M75" s="66">
        <f t="shared" ca="1" si="13"/>
        <v>5.0000000000008891</v>
      </c>
    </row>
    <row r="76" spans="1:13" ht="15" x14ac:dyDescent="0.15">
      <c r="A76" s="26"/>
      <c r="B76" s="346" t="s">
        <v>194</v>
      </c>
      <c r="G76" s="15">
        <f ca="1">G75*Dashboard!$I$36/100</f>
        <v>4.2500000000007558</v>
      </c>
      <c r="H76" s="15">
        <f ca="1">H75*Dashboard!$I$36/100</f>
        <v>4.2500000000007558</v>
      </c>
      <c r="I76" s="15">
        <f ca="1">I75*Dashboard!$I$36/100</f>
        <v>4.2500000000007558</v>
      </c>
      <c r="J76" s="15">
        <f ca="1">J75*Dashboard!$I$36/100</f>
        <v>4.2500000000007558</v>
      </c>
      <c r="K76" s="15">
        <f ca="1">K75*Dashboard!$I$36/100</f>
        <v>4.2500000000007558</v>
      </c>
      <c r="L76" s="15">
        <f ca="1">L75*Dashboard!$I$36/100</f>
        <v>4.2500000000007558</v>
      </c>
      <c r="M76" s="15">
        <f ca="1">M75*Dashboard!$I$36/100</f>
        <v>4.2500000000007558</v>
      </c>
    </row>
    <row r="77" spans="1:13" ht="13" x14ac:dyDescent="0.15">
      <c r="A77" s="26"/>
      <c r="B77" s="346" t="s">
        <v>195</v>
      </c>
      <c r="G77" s="66">
        <f ca="1">'Battery Design'!G490/'Battery Design'!G29</f>
        <v>42.17087271306724</v>
      </c>
      <c r="H77" s="66">
        <f ca="1">'Battery Design'!H490/'Battery Design'!H29</f>
        <v>42.17087271306724</v>
      </c>
      <c r="I77" s="66">
        <f ca="1">'Battery Design'!I490/'Battery Design'!I29</f>
        <v>42.17087271306724</v>
      </c>
      <c r="J77" s="66">
        <f ca="1">'Battery Design'!J490/'Battery Design'!J29</f>
        <v>42.17087271306724</v>
      </c>
      <c r="K77" s="66">
        <f ca="1">'Battery Design'!K490/'Battery Design'!K29</f>
        <v>42.17087271306724</v>
      </c>
      <c r="L77" s="66">
        <f ca="1">'Battery Design'!L490/'Battery Design'!L29</f>
        <v>42.17087271306724</v>
      </c>
      <c r="M77" s="66">
        <f ca="1">'Battery Design'!M490/'Battery Design'!M29</f>
        <v>42.17087271306724</v>
      </c>
    </row>
    <row r="78" spans="1:13" ht="13" x14ac:dyDescent="0.15">
      <c r="A78" s="26"/>
      <c r="B78" s="346" t="s">
        <v>196</v>
      </c>
      <c r="G78" s="46">
        <f>'Battery Design'!G22/'Battery Design'!G29</f>
        <v>15</v>
      </c>
      <c r="H78" s="46">
        <f>'Battery Design'!H22/'Battery Design'!H29</f>
        <v>15</v>
      </c>
      <c r="I78" s="46">
        <f>'Battery Design'!I22/'Battery Design'!I29</f>
        <v>15</v>
      </c>
      <c r="J78" s="46">
        <f>'Battery Design'!J22/'Battery Design'!J29</f>
        <v>15</v>
      </c>
      <c r="K78" s="46">
        <f>'Battery Design'!K22/'Battery Design'!K29</f>
        <v>15</v>
      </c>
      <c r="L78" s="46">
        <f>'Battery Design'!L22/'Battery Design'!L29</f>
        <v>15</v>
      </c>
      <c r="M78" s="46">
        <f>'Battery Design'!M22/'Battery Design'!M29</f>
        <v>15</v>
      </c>
    </row>
    <row r="79" spans="1:13" ht="13" x14ac:dyDescent="0.15">
      <c r="A79" s="26"/>
      <c r="B79" s="346"/>
    </row>
    <row r="80" spans="1:13" x14ac:dyDescent="0.15">
      <c r="A80" s="26"/>
      <c r="B80" s="507" t="s">
        <v>197</v>
      </c>
    </row>
    <row r="81" spans="1:13" ht="13" x14ac:dyDescent="0.15">
      <c r="A81" s="26"/>
      <c r="B81" s="8" t="s">
        <v>198</v>
      </c>
      <c r="G81" s="97">
        <f ca="1">'Battery Design'!G354</f>
        <v>309.12486836401968</v>
      </c>
      <c r="H81" s="97">
        <f ca="1">'Battery Design'!H354</f>
        <v>309.12486836401968</v>
      </c>
      <c r="I81" s="97">
        <f ca="1">'Battery Design'!I354</f>
        <v>309.12486836401968</v>
      </c>
      <c r="J81" s="97">
        <f ca="1">'Battery Design'!J354</f>
        <v>309.12486836401968</v>
      </c>
      <c r="K81" s="97">
        <f ca="1">'Battery Design'!K354</f>
        <v>309.12486836401968</v>
      </c>
      <c r="L81" s="97">
        <f ca="1">'Battery Design'!L354</f>
        <v>309.12486836401968</v>
      </c>
      <c r="M81" s="97">
        <f ca="1">'Battery Design'!M354</f>
        <v>309.12486836401968</v>
      </c>
    </row>
    <row r="82" spans="1:13" ht="13" x14ac:dyDescent="0.15">
      <c r="A82" s="26"/>
      <c r="B82" s="8" t="s">
        <v>199</v>
      </c>
      <c r="G82" s="97">
        <f ca="1">'Battery Design'!G355</f>
        <v>411.28255837135885</v>
      </c>
      <c r="H82" s="97">
        <f ca="1">'Battery Design'!H355</f>
        <v>411.28255837135885</v>
      </c>
      <c r="I82" s="97">
        <f ca="1">'Battery Design'!I355</f>
        <v>411.28255837135885</v>
      </c>
      <c r="J82" s="97">
        <f ca="1">'Battery Design'!J355</f>
        <v>411.28255837135885</v>
      </c>
      <c r="K82" s="97">
        <f ca="1">'Battery Design'!K355</f>
        <v>411.28255837135885</v>
      </c>
      <c r="L82" s="97">
        <f ca="1">'Battery Design'!L355</f>
        <v>411.28255837135885</v>
      </c>
      <c r="M82" s="97">
        <f ca="1">'Battery Design'!M355</f>
        <v>411.28255837135885</v>
      </c>
    </row>
    <row r="83" spans="1:13" ht="13" x14ac:dyDescent="0.15">
      <c r="A83" s="26"/>
      <c r="B83" s="8" t="s">
        <v>200</v>
      </c>
      <c r="G83" s="97">
        <f ca="1">'Battery Design'!G356</f>
        <v>81.000987119818873</v>
      </c>
      <c r="H83" s="97">
        <f ca="1">'Battery Design'!H356</f>
        <v>81.000987119818873</v>
      </c>
      <c r="I83" s="97">
        <f ca="1">'Battery Design'!I356</f>
        <v>81.000987119818873</v>
      </c>
      <c r="J83" s="97">
        <f ca="1">'Battery Design'!J356</f>
        <v>81.000987119818873</v>
      </c>
      <c r="K83" s="97">
        <f ca="1">'Battery Design'!K356</f>
        <v>81.000987119818873</v>
      </c>
      <c r="L83" s="97">
        <f ca="1">'Battery Design'!L356</f>
        <v>81.000987119818873</v>
      </c>
      <c r="M83" s="97">
        <f ca="1">'Battery Design'!M356</f>
        <v>81.000987119818873</v>
      </c>
    </row>
    <row r="84" spans="1:13" ht="13" x14ac:dyDescent="0.15">
      <c r="A84" s="26"/>
      <c r="B84" s="346" t="s">
        <v>201</v>
      </c>
      <c r="G84" s="335">
        <f ca="1">'Battery Design'!G357</f>
        <v>10.298276504184589</v>
      </c>
      <c r="H84" s="335">
        <f ca="1">'Battery Design'!H357</f>
        <v>10.298276504184589</v>
      </c>
      <c r="I84" s="335">
        <f ca="1">'Battery Design'!I357</f>
        <v>10.298276504184589</v>
      </c>
      <c r="J84" s="335">
        <f ca="1">'Battery Design'!J357</f>
        <v>10.298276504184589</v>
      </c>
      <c r="K84" s="335">
        <f ca="1">'Battery Design'!K357</f>
        <v>10.298276504184589</v>
      </c>
      <c r="L84" s="335">
        <f ca="1">'Battery Design'!L357</f>
        <v>10.298276504184589</v>
      </c>
      <c r="M84" s="335">
        <f ca="1">'Battery Design'!M357</f>
        <v>10.298276504184589</v>
      </c>
    </row>
    <row r="85" spans="1:13" ht="13" x14ac:dyDescent="0.15">
      <c r="A85" s="26"/>
      <c r="B85" s="346" t="s">
        <v>202</v>
      </c>
      <c r="G85" s="335">
        <f ca="1">G84*G44</f>
        <v>205.96553008369176</v>
      </c>
      <c r="H85" s="335">
        <f t="shared" ref="H85:M85" ca="1" si="14">H84*H44</f>
        <v>205.96553008369176</v>
      </c>
      <c r="I85" s="335">
        <f t="shared" ca="1" si="14"/>
        <v>205.96553008369176</v>
      </c>
      <c r="J85" s="335">
        <f t="shared" ca="1" si="14"/>
        <v>205.96553008369176</v>
      </c>
      <c r="K85" s="335">
        <f t="shared" ca="1" si="14"/>
        <v>205.96553008369176</v>
      </c>
      <c r="L85" s="335">
        <f t="shared" ca="1" si="14"/>
        <v>205.96553008369176</v>
      </c>
      <c r="M85" s="335">
        <f t="shared" ca="1" si="14"/>
        <v>205.96553008369176</v>
      </c>
    </row>
    <row r="86" spans="1:13" ht="13" x14ac:dyDescent="0.15">
      <c r="A86" s="26"/>
      <c r="B86" s="346" t="s">
        <v>203</v>
      </c>
      <c r="G86" s="96">
        <f ca="1">'Battery Design'!G358</f>
        <v>20.818571541672252</v>
      </c>
      <c r="H86" s="96">
        <f ca="1">'Battery Design'!H358</f>
        <v>20.818571541672252</v>
      </c>
      <c r="I86" s="96">
        <f ca="1">'Battery Design'!I358</f>
        <v>20.818571541672252</v>
      </c>
      <c r="J86" s="96">
        <f ca="1">'Battery Design'!J358</f>
        <v>20.818571541672252</v>
      </c>
      <c r="K86" s="96">
        <f ca="1">'Battery Design'!K358</f>
        <v>20.818571541672252</v>
      </c>
      <c r="L86" s="96">
        <f ca="1">'Battery Design'!L358</f>
        <v>20.818571541672252</v>
      </c>
      <c r="M86" s="96">
        <f ca="1">'Battery Design'!M358</f>
        <v>20.818571541672252</v>
      </c>
    </row>
    <row r="87" spans="1:13" ht="13" x14ac:dyDescent="0.15">
      <c r="A87" s="26"/>
      <c r="B87" s="346" t="s">
        <v>204</v>
      </c>
      <c r="G87" s="97">
        <f ca="1">G86*'Battery Design'!G29</f>
        <v>416.37143083344506</v>
      </c>
      <c r="H87" s="97">
        <f ca="1">H86*'Battery Design'!H29</f>
        <v>416.37143083344506</v>
      </c>
      <c r="I87" s="97">
        <f ca="1">I86*'Battery Design'!I29</f>
        <v>416.37143083344506</v>
      </c>
      <c r="J87" s="97">
        <f ca="1">J86*'Battery Design'!J29</f>
        <v>416.37143083344506</v>
      </c>
      <c r="K87" s="97">
        <f ca="1">K86*'Battery Design'!K29</f>
        <v>416.37143083344506</v>
      </c>
      <c r="L87" s="97">
        <f ca="1">L86*'Battery Design'!L29</f>
        <v>416.37143083344506</v>
      </c>
      <c r="M87" s="97">
        <f ca="1">M86*'Battery Design'!M29</f>
        <v>416.37143083344506</v>
      </c>
    </row>
    <row r="88" spans="1:13" ht="13" x14ac:dyDescent="0.15">
      <c r="A88" s="26"/>
      <c r="B88" s="346"/>
    </row>
    <row r="89" spans="1:13" x14ac:dyDescent="0.15">
      <c r="A89" s="26"/>
      <c r="B89" s="507" t="s">
        <v>205</v>
      </c>
    </row>
    <row r="90" spans="1:13" ht="13" x14ac:dyDescent="0.15">
      <c r="A90" s="26"/>
      <c r="B90" s="346" t="s">
        <v>206</v>
      </c>
      <c r="G90" s="11">
        <f t="shared" ref="G90:M90" ca="1" si="15">G75/G84*1000</f>
        <v>485.51813480335232</v>
      </c>
      <c r="H90" s="11">
        <f t="shared" ca="1" si="15"/>
        <v>485.51813480335232</v>
      </c>
      <c r="I90" s="11">
        <f t="shared" ca="1" si="15"/>
        <v>485.51813480335232</v>
      </c>
      <c r="J90" s="11">
        <f t="shared" ca="1" si="15"/>
        <v>485.51813480335232</v>
      </c>
      <c r="K90" s="11">
        <f t="shared" ca="1" si="15"/>
        <v>485.51813480335232</v>
      </c>
      <c r="L90" s="11">
        <f t="shared" ca="1" si="15"/>
        <v>485.51813480335232</v>
      </c>
      <c r="M90" s="11">
        <f t="shared" ca="1" si="15"/>
        <v>485.51813480335232</v>
      </c>
    </row>
    <row r="91" spans="1:13" ht="13" x14ac:dyDescent="0.15">
      <c r="A91" s="26"/>
      <c r="B91" s="346" t="s">
        <v>207</v>
      </c>
      <c r="G91" s="11">
        <f t="shared" ref="G91:M91" ca="1" si="16">G75/G86*1000</f>
        <v>240.17017642120436</v>
      </c>
      <c r="H91" s="11">
        <f t="shared" ca="1" si="16"/>
        <v>240.17017642120436</v>
      </c>
      <c r="I91" s="11">
        <f t="shared" ca="1" si="16"/>
        <v>240.17017642120436</v>
      </c>
      <c r="J91" s="11">
        <f t="shared" ca="1" si="16"/>
        <v>240.17017642120436</v>
      </c>
      <c r="K91" s="11">
        <f t="shared" ca="1" si="16"/>
        <v>240.17017642120436</v>
      </c>
      <c r="L91" s="11">
        <f t="shared" ca="1" si="16"/>
        <v>240.17017642120436</v>
      </c>
      <c r="M91" s="11">
        <f t="shared" ca="1" si="16"/>
        <v>240.17017642120436</v>
      </c>
    </row>
    <row r="92" spans="1:13" ht="15" x14ac:dyDescent="0.15">
      <c r="A92" s="26"/>
      <c r="B92" s="346" t="s">
        <v>208</v>
      </c>
      <c r="G92" s="11">
        <f t="shared" ref="G92:M92" ca="1" si="17">G76/G84*1000</f>
        <v>412.69041458284948</v>
      </c>
      <c r="H92" s="11">
        <f t="shared" ca="1" si="17"/>
        <v>412.69041458284948</v>
      </c>
      <c r="I92" s="11">
        <f t="shared" ca="1" si="17"/>
        <v>412.69041458284948</v>
      </c>
      <c r="J92" s="11">
        <f t="shared" ca="1" si="17"/>
        <v>412.69041458284948</v>
      </c>
      <c r="K92" s="11">
        <f t="shared" ca="1" si="17"/>
        <v>412.69041458284948</v>
      </c>
      <c r="L92" s="11">
        <f t="shared" ca="1" si="17"/>
        <v>412.69041458284948</v>
      </c>
      <c r="M92" s="11">
        <f t="shared" ca="1" si="17"/>
        <v>412.69041458284948</v>
      </c>
    </row>
    <row r="93" spans="1:13" ht="15" x14ac:dyDescent="0.15">
      <c r="A93" s="26"/>
      <c r="B93" s="346" t="s">
        <v>209</v>
      </c>
      <c r="G93" s="11">
        <f t="shared" ref="G93:M93" ca="1" si="18">G76/G86*1000</f>
        <v>204.14464995802371</v>
      </c>
      <c r="H93" s="11">
        <f t="shared" ca="1" si="18"/>
        <v>204.14464995802371</v>
      </c>
      <c r="I93" s="11">
        <f t="shared" ca="1" si="18"/>
        <v>204.14464995802371</v>
      </c>
      <c r="J93" s="11">
        <f t="shared" ca="1" si="18"/>
        <v>204.14464995802371</v>
      </c>
      <c r="K93" s="11">
        <f t="shared" ca="1" si="18"/>
        <v>204.14464995802371</v>
      </c>
      <c r="L93" s="11">
        <f t="shared" ca="1" si="18"/>
        <v>204.14464995802371</v>
      </c>
      <c r="M93" s="11">
        <f t="shared" ca="1" si="18"/>
        <v>204.14464995802371</v>
      </c>
    </row>
    <row r="94" spans="1:13" x14ac:dyDescent="0.15">
      <c r="A94" s="26"/>
      <c r="B94" s="346" t="s">
        <v>210</v>
      </c>
      <c r="G94" s="15">
        <f ca="1">G86/G84</f>
        <v>2.021558804836213</v>
      </c>
      <c r="H94" s="15">
        <f t="shared" ref="H94:M94" ca="1" si="19">H86/H84</f>
        <v>2.021558804836213</v>
      </c>
      <c r="I94" s="15">
        <f t="shared" ca="1" si="19"/>
        <v>2.021558804836213</v>
      </c>
      <c r="J94" s="15">
        <f t="shared" ca="1" si="19"/>
        <v>2.021558804836213</v>
      </c>
      <c r="K94" s="15">
        <f t="shared" ca="1" si="19"/>
        <v>2.021558804836213</v>
      </c>
      <c r="L94" s="15">
        <f t="shared" ca="1" si="19"/>
        <v>2.021558804836213</v>
      </c>
      <c r="M94" s="15">
        <f t="shared" ca="1" si="19"/>
        <v>2.021558804836213</v>
      </c>
    </row>
    <row r="95" spans="1:13" ht="13" x14ac:dyDescent="0.15">
      <c r="A95" s="26"/>
    </row>
    <row r="96" spans="1:13" ht="16" x14ac:dyDescent="0.2">
      <c r="A96" s="26"/>
      <c r="B96" s="5" t="s">
        <v>211</v>
      </c>
    </row>
    <row r="97" spans="1:13" x14ac:dyDescent="0.15">
      <c r="A97" s="26"/>
      <c r="B97" s="507" t="s">
        <v>212</v>
      </c>
    </row>
    <row r="98" spans="1:13" ht="13" x14ac:dyDescent="0.15">
      <c r="A98" s="26"/>
      <c r="B98" s="8" t="s">
        <v>213</v>
      </c>
      <c r="G98" s="15">
        <f ca="1">'Battery Design'!G155</f>
        <v>3.7046640670027604</v>
      </c>
      <c r="H98" s="15">
        <f ca="1">'Battery Design'!H155</f>
        <v>3.7046640670027604</v>
      </c>
      <c r="I98" s="15">
        <f ca="1">'Battery Design'!I155</f>
        <v>3.7046640670027604</v>
      </c>
      <c r="J98" s="15">
        <f ca="1">'Battery Design'!J155</f>
        <v>3.7046640670027604</v>
      </c>
      <c r="K98" s="15">
        <f ca="1">'Battery Design'!K155</f>
        <v>3.7046640670027604</v>
      </c>
      <c r="L98" s="15">
        <f ca="1">'Battery Design'!L155</f>
        <v>3.7046640670027604</v>
      </c>
      <c r="M98" s="15">
        <f ca="1">'Battery Design'!M155</f>
        <v>3.7046640670027604</v>
      </c>
    </row>
    <row r="99" spans="1:13" ht="13" x14ac:dyDescent="0.15">
      <c r="A99" s="26">
        <v>13</v>
      </c>
      <c r="B99" s="346" t="s">
        <v>214</v>
      </c>
      <c r="G99" s="15">
        <f ca="1">G73/('Battery Design'!G25/'Battery Design'!G26)</f>
        <v>3.6797329287237077</v>
      </c>
      <c r="H99" s="15">
        <f ca="1">H73/('Battery Design'!H25/'Battery Design'!H26)</f>
        <v>3.6797329287237077</v>
      </c>
      <c r="I99" s="15">
        <f ca="1">I73/('Battery Design'!I25/'Battery Design'!I26)</f>
        <v>3.6797329287237077</v>
      </c>
      <c r="J99" s="15">
        <f ca="1">J73/('Battery Design'!J25/'Battery Design'!J26)</f>
        <v>3.6797329287237077</v>
      </c>
      <c r="K99" s="15">
        <f ca="1">K73/('Battery Design'!K25/'Battery Design'!K26)</f>
        <v>3.6797329287237077</v>
      </c>
      <c r="L99" s="15">
        <f ca="1">L73/('Battery Design'!L25/'Battery Design'!L26)</f>
        <v>3.6797329287237077</v>
      </c>
      <c r="M99" s="15">
        <f ca="1">M73/('Battery Design'!M25/'Battery Design'!M26)</f>
        <v>3.6797329287237077</v>
      </c>
    </row>
    <row r="100" spans="1:13" ht="13" x14ac:dyDescent="0.15">
      <c r="A100" s="26">
        <v>12</v>
      </c>
      <c r="B100" s="9" t="s">
        <v>121</v>
      </c>
      <c r="C100" s="9"/>
      <c r="D100" s="9"/>
      <c r="E100" s="9"/>
      <c r="F100" s="9"/>
      <c r="G100" s="504">
        <f ca="1">'Battery Design'!G35</f>
        <v>67.939713246199872</v>
      </c>
      <c r="H100" s="504">
        <f ca="1">'Battery Design'!H35</f>
        <v>67.939713246199872</v>
      </c>
      <c r="I100" s="504">
        <f ca="1">'Battery Design'!I35</f>
        <v>67.939713246199872</v>
      </c>
      <c r="J100" s="504">
        <f ca="1">'Battery Design'!J35</f>
        <v>67.939713246199872</v>
      </c>
      <c r="K100" s="504">
        <f ca="1">'Battery Design'!K35</f>
        <v>67.939713246199872</v>
      </c>
      <c r="L100" s="504">
        <f ca="1">'Battery Design'!L35</f>
        <v>67.939713246199872</v>
      </c>
      <c r="M100" s="504">
        <f ca="1">'Battery Design'!M35</f>
        <v>67.939713246199872</v>
      </c>
    </row>
    <row r="101" spans="1:13" ht="13" x14ac:dyDescent="0.15">
      <c r="A101" s="26"/>
      <c r="B101" s="8" t="s">
        <v>215</v>
      </c>
      <c r="G101" s="10">
        <f ca="1">G99*G100/1000</f>
        <v>0.25000000000008793</v>
      </c>
      <c r="H101" s="10">
        <f t="shared" ref="H101:M101" ca="1" si="20">H99*H100/1000</f>
        <v>0.25000000000008793</v>
      </c>
      <c r="I101" s="10">
        <f t="shared" ca="1" si="20"/>
        <v>0.25000000000008793</v>
      </c>
      <c r="J101" s="10">
        <f t="shared" ca="1" si="20"/>
        <v>0.25000000000008793</v>
      </c>
      <c r="K101" s="10">
        <f t="shared" ca="1" si="20"/>
        <v>0.25000000000008793</v>
      </c>
      <c r="L101" s="10">
        <f t="shared" ca="1" si="20"/>
        <v>0.25000000000008793</v>
      </c>
      <c r="M101" s="10">
        <f t="shared" ca="1" si="20"/>
        <v>0.25000000000008793</v>
      </c>
    </row>
    <row r="102" spans="1:13" ht="15" x14ac:dyDescent="0.2">
      <c r="A102" s="26"/>
      <c r="B102" s="8" t="s">
        <v>216</v>
      </c>
      <c r="G102" s="10">
        <f ca="1">G101*Dashboard!$I$36/100</f>
        <v>0.21250000000007474</v>
      </c>
      <c r="H102" s="10">
        <f ca="1">H101*Dashboard!$I$36/100</f>
        <v>0.21250000000007474</v>
      </c>
      <c r="I102" s="10">
        <f ca="1">I101*Dashboard!$I$36/100</f>
        <v>0.21250000000007474</v>
      </c>
      <c r="J102" s="10">
        <f ca="1">J101*Dashboard!$I$36/100</f>
        <v>0.21250000000007474</v>
      </c>
      <c r="K102" s="10">
        <f ca="1">K101*Dashboard!$I$36/100</f>
        <v>0.21250000000007474</v>
      </c>
      <c r="L102" s="10">
        <f ca="1">L101*Dashboard!$I$36/100</f>
        <v>0.21250000000007474</v>
      </c>
      <c r="M102" s="10">
        <f ca="1">M101*Dashboard!$I$36/100</f>
        <v>0.21250000000007474</v>
      </c>
    </row>
    <row r="103" spans="1:13" ht="13" x14ac:dyDescent="0.15">
      <c r="A103" s="26"/>
      <c r="B103" s="8" t="s">
        <v>217</v>
      </c>
      <c r="G103" s="66">
        <f t="shared" ref="G103:M103" ca="1" si="21">G77/G71</f>
        <v>2.108543635653362</v>
      </c>
      <c r="H103" s="66">
        <f t="shared" ca="1" si="21"/>
        <v>2.108543635653362</v>
      </c>
      <c r="I103" s="66">
        <f t="shared" ca="1" si="21"/>
        <v>2.108543635653362</v>
      </c>
      <c r="J103" s="66">
        <f t="shared" ca="1" si="21"/>
        <v>2.108543635653362</v>
      </c>
      <c r="K103" s="66">
        <f t="shared" ca="1" si="21"/>
        <v>2.108543635653362</v>
      </c>
      <c r="L103" s="66">
        <f t="shared" ca="1" si="21"/>
        <v>2.108543635653362</v>
      </c>
      <c r="M103" s="66">
        <f t="shared" ca="1" si="21"/>
        <v>2.108543635653362</v>
      </c>
    </row>
    <row r="104" spans="1:13" ht="13" x14ac:dyDescent="0.15">
      <c r="A104" s="26"/>
      <c r="B104" s="8" t="s">
        <v>218</v>
      </c>
      <c r="G104" s="66">
        <f t="shared" ref="G104:M104" si="22">G78/G71</f>
        <v>0.75</v>
      </c>
      <c r="H104" s="66">
        <f t="shared" si="22"/>
        <v>0.75</v>
      </c>
      <c r="I104" s="66">
        <f t="shared" si="22"/>
        <v>0.75</v>
      </c>
      <c r="J104" s="66">
        <f t="shared" si="22"/>
        <v>0.75</v>
      </c>
      <c r="K104" s="66">
        <f t="shared" si="22"/>
        <v>0.75</v>
      </c>
      <c r="L104" s="66">
        <f t="shared" si="22"/>
        <v>0.75</v>
      </c>
      <c r="M104" s="66">
        <f t="shared" si="22"/>
        <v>0.75</v>
      </c>
    </row>
    <row r="105" spans="1:13" ht="13" x14ac:dyDescent="0.15">
      <c r="A105" s="26"/>
      <c r="G105" s="330"/>
    </row>
    <row r="106" spans="1:13" x14ac:dyDescent="0.15">
      <c r="A106" s="26"/>
      <c r="B106" s="507" t="s">
        <v>219</v>
      </c>
      <c r="G106" s="330"/>
    </row>
    <row r="107" spans="1:13" ht="13" x14ac:dyDescent="0.15">
      <c r="A107" s="26"/>
      <c r="B107" s="9" t="s">
        <v>220</v>
      </c>
      <c r="C107" s="9"/>
      <c r="D107" s="9"/>
      <c r="E107" s="9"/>
      <c r="F107" s="9"/>
      <c r="G107" s="849">
        <f ca="1">'Battery Design'!G312</f>
        <v>301.12486836401968</v>
      </c>
      <c r="H107" s="849">
        <f ca="1">'Battery Design'!H312</f>
        <v>301.12486836401968</v>
      </c>
      <c r="I107" s="849">
        <f ca="1">'Battery Design'!I312</f>
        <v>301.12486836401968</v>
      </c>
      <c r="J107" s="849">
        <f ca="1">'Battery Design'!J312</f>
        <v>301.12486836401968</v>
      </c>
      <c r="K107" s="849">
        <f ca="1">'Battery Design'!K312</f>
        <v>301.12486836401968</v>
      </c>
      <c r="L107" s="849">
        <f ca="1">'Battery Design'!L312</f>
        <v>301.12486836401968</v>
      </c>
      <c r="M107" s="849">
        <f ca="1">'Battery Design'!M312</f>
        <v>301.12486836401968</v>
      </c>
    </row>
    <row r="108" spans="1:13" ht="13" x14ac:dyDescent="0.15">
      <c r="A108" s="26"/>
      <c r="B108" s="9" t="s">
        <v>221</v>
      </c>
      <c r="C108" s="9"/>
      <c r="D108" s="9"/>
      <c r="E108" s="9"/>
      <c r="F108" s="9"/>
      <c r="G108" s="849">
        <f ca="1">'Battery Design'!G311</f>
        <v>79.600987119818882</v>
      </c>
      <c r="H108" s="849">
        <f ca="1">'Battery Design'!H311</f>
        <v>79.600987119818882</v>
      </c>
      <c r="I108" s="849">
        <f ca="1">'Battery Design'!I311</f>
        <v>79.600987119818882</v>
      </c>
      <c r="J108" s="849">
        <f ca="1">'Battery Design'!J311</f>
        <v>79.600987119818882</v>
      </c>
      <c r="K108" s="849">
        <f ca="1">'Battery Design'!K311</f>
        <v>79.600987119818882</v>
      </c>
      <c r="L108" s="849">
        <f ca="1">'Battery Design'!L311</f>
        <v>79.600987119818882</v>
      </c>
      <c r="M108" s="849">
        <f ca="1">'Battery Design'!M311</f>
        <v>79.600987119818882</v>
      </c>
    </row>
    <row r="109" spans="1:13" ht="13" x14ac:dyDescent="0.15">
      <c r="A109" s="26"/>
      <c r="B109" s="9" t="s">
        <v>78</v>
      </c>
      <c r="C109" s="9"/>
      <c r="D109" s="9"/>
      <c r="E109" s="9"/>
      <c r="F109" s="9"/>
      <c r="G109" s="831">
        <f ca="1">'Battery Design'!G86</f>
        <v>20.134127918567941</v>
      </c>
      <c r="H109" s="831">
        <f ca="1">'Battery Design'!H86</f>
        <v>20.134127918567941</v>
      </c>
      <c r="I109" s="831">
        <f ca="1">'Battery Design'!I86</f>
        <v>20.134127918567941</v>
      </c>
      <c r="J109" s="831">
        <f ca="1">'Battery Design'!J86</f>
        <v>20.134127918567941</v>
      </c>
      <c r="K109" s="831">
        <f ca="1">'Battery Design'!K86</f>
        <v>20.134127918567941</v>
      </c>
      <c r="L109" s="831">
        <f ca="1">'Battery Design'!L86</f>
        <v>20.134127918567941</v>
      </c>
      <c r="M109" s="831">
        <f ca="1">'Battery Design'!M86</f>
        <v>20.134127918567941</v>
      </c>
    </row>
    <row r="110" spans="1:13" ht="13" x14ac:dyDescent="0.15">
      <c r="A110" s="26"/>
      <c r="B110" s="9" t="s">
        <v>222</v>
      </c>
      <c r="C110" s="9"/>
      <c r="D110" s="9"/>
      <c r="E110" s="9"/>
      <c r="F110" s="9"/>
      <c r="G110" s="481">
        <f ca="1">'Battery Design'!G313/1000</f>
        <v>0.48261175967614856</v>
      </c>
      <c r="H110" s="481">
        <f ca="1">'Battery Design'!H313/1000</f>
        <v>0.48261175967614856</v>
      </c>
      <c r="I110" s="481">
        <f ca="1">'Battery Design'!I313/1000</f>
        <v>0.48261175967614856</v>
      </c>
      <c r="J110" s="481">
        <f ca="1">'Battery Design'!J313/1000</f>
        <v>0.48261175967614856</v>
      </c>
      <c r="K110" s="481">
        <f ca="1">'Battery Design'!K313/1000</f>
        <v>0.48261175967614856</v>
      </c>
      <c r="L110" s="481">
        <f ca="1">'Battery Design'!L313/1000</f>
        <v>0.48261175967614856</v>
      </c>
      <c r="M110" s="481">
        <f ca="1">'Battery Design'!M313/1000</f>
        <v>0.48261175967614856</v>
      </c>
    </row>
    <row r="111" spans="1:13" ht="13" x14ac:dyDescent="0.15">
      <c r="A111" s="26"/>
      <c r="B111" s="363" t="s">
        <v>223</v>
      </c>
      <c r="C111" s="9"/>
      <c r="D111" s="9"/>
      <c r="E111" s="9"/>
      <c r="F111" s="9"/>
      <c r="G111" s="849">
        <f ca="1">'Battery Design'!G499</f>
        <v>193.04470387045941</v>
      </c>
      <c r="H111" s="849">
        <f ca="1">'Battery Design'!H499</f>
        <v>193.04470387045941</v>
      </c>
      <c r="I111" s="849">
        <f ca="1">'Battery Design'!I499</f>
        <v>193.04470387045941</v>
      </c>
      <c r="J111" s="849">
        <f ca="1">'Battery Design'!J499</f>
        <v>193.04470387045941</v>
      </c>
      <c r="K111" s="849">
        <f ca="1">'Battery Design'!K499</f>
        <v>193.04470387045941</v>
      </c>
      <c r="L111" s="849">
        <f ca="1">'Battery Design'!L499</f>
        <v>193.04470387045941</v>
      </c>
      <c r="M111" s="849">
        <f ca="1">'Battery Design'!M499</f>
        <v>193.04470387045941</v>
      </c>
    </row>
    <row r="112" spans="1:13" ht="13" x14ac:dyDescent="0.15">
      <c r="A112" s="26"/>
      <c r="B112" s="363" t="s">
        <v>224</v>
      </c>
      <c r="C112" s="9"/>
      <c r="D112" s="9"/>
      <c r="E112" s="9"/>
      <c r="F112" s="9"/>
      <c r="G112" s="831">
        <f ca="1">'Battery Design'!G495</f>
        <v>0.92977519411709442</v>
      </c>
      <c r="H112" s="831">
        <f ca="1">'Battery Design'!H495</f>
        <v>0.92977519411709442</v>
      </c>
      <c r="I112" s="831">
        <f ca="1">'Battery Design'!I495</f>
        <v>0.92977519411709442</v>
      </c>
      <c r="J112" s="831">
        <f ca="1">'Battery Design'!J495</f>
        <v>0.92977519411709442</v>
      </c>
      <c r="K112" s="831">
        <f ca="1">'Battery Design'!K495</f>
        <v>0.92977519411709442</v>
      </c>
      <c r="L112" s="831">
        <f ca="1">'Battery Design'!L495</f>
        <v>0.92977519411709442</v>
      </c>
      <c r="M112" s="831">
        <f ca="1">'Battery Design'!M495</f>
        <v>0.92977519411709442</v>
      </c>
    </row>
    <row r="113" spans="1:13" ht="13" x14ac:dyDescent="0.15">
      <c r="A113" s="26"/>
      <c r="B113" s="363" t="s">
        <v>225</v>
      </c>
      <c r="C113" s="9"/>
      <c r="D113" s="9"/>
      <c r="E113" s="9"/>
      <c r="F113" s="9"/>
      <c r="G113" s="849">
        <f ca="1">'Battery Design'!G496</f>
        <v>371.91007764683775</v>
      </c>
      <c r="H113" s="849">
        <f ca="1">'Battery Design'!H496</f>
        <v>371.91007764683775</v>
      </c>
      <c r="I113" s="849">
        <f ca="1">'Battery Design'!I496</f>
        <v>371.91007764683775</v>
      </c>
      <c r="J113" s="849">
        <f ca="1">'Battery Design'!J496</f>
        <v>371.91007764683775</v>
      </c>
      <c r="K113" s="849">
        <f ca="1">'Battery Design'!K496</f>
        <v>371.91007764683775</v>
      </c>
      <c r="L113" s="849">
        <f ca="1">'Battery Design'!L496</f>
        <v>371.91007764683775</v>
      </c>
      <c r="M113" s="849">
        <f ca="1">'Battery Design'!M496</f>
        <v>371.91007764683775</v>
      </c>
    </row>
    <row r="114" spans="1:13" ht="13" x14ac:dyDescent="0.15">
      <c r="A114" s="26"/>
      <c r="B114" s="363"/>
      <c r="C114" s="9"/>
      <c r="D114" s="9"/>
      <c r="E114" s="9"/>
      <c r="F114" s="9"/>
      <c r="G114" s="849"/>
      <c r="H114" s="849"/>
      <c r="I114" s="849"/>
      <c r="J114" s="849"/>
      <c r="K114" s="849"/>
      <c r="L114" s="849"/>
      <c r="M114" s="849"/>
    </row>
    <row r="115" spans="1:13" x14ac:dyDescent="0.15">
      <c r="A115" s="26"/>
      <c r="B115" s="507" t="s">
        <v>226</v>
      </c>
    </row>
    <row r="116" spans="1:13" ht="13" x14ac:dyDescent="0.15">
      <c r="A116" s="26">
        <v>18</v>
      </c>
      <c r="B116" s="363" t="s">
        <v>227</v>
      </c>
      <c r="C116" s="9"/>
      <c r="D116" s="9"/>
      <c r="E116" s="9"/>
      <c r="F116" s="9"/>
      <c r="G116" s="849">
        <f t="shared" ref="G116:M116" ca="1" si="23">G48*1000/G111</f>
        <v>518.01472920548463</v>
      </c>
      <c r="H116" s="849">
        <f t="shared" ca="1" si="23"/>
        <v>518.01472920548463</v>
      </c>
      <c r="I116" s="849">
        <f t="shared" ca="1" si="23"/>
        <v>518.01472920548463</v>
      </c>
      <c r="J116" s="849">
        <f t="shared" ca="1" si="23"/>
        <v>518.01472920548463</v>
      </c>
      <c r="K116" s="849">
        <f t="shared" ca="1" si="23"/>
        <v>518.01472920548463</v>
      </c>
      <c r="L116" s="849">
        <f t="shared" ca="1" si="23"/>
        <v>518.01472920548463</v>
      </c>
      <c r="M116" s="849">
        <f t="shared" ca="1" si="23"/>
        <v>518.01472920548463</v>
      </c>
    </row>
    <row r="117" spans="1:13" ht="13" x14ac:dyDescent="0.15">
      <c r="A117" s="26">
        <v>19</v>
      </c>
      <c r="B117" s="363" t="s">
        <v>228</v>
      </c>
      <c r="C117" s="9"/>
      <c r="D117" s="9"/>
      <c r="E117" s="9"/>
      <c r="F117" s="9"/>
      <c r="G117" s="849">
        <f ca="1">'Battery Design'!G500</f>
        <v>268.88220032310278</v>
      </c>
      <c r="H117" s="849">
        <f ca="1">'Battery Design'!H500</f>
        <v>268.88220032310278</v>
      </c>
      <c r="I117" s="849">
        <f ca="1">'Battery Design'!I500</f>
        <v>268.88220032310278</v>
      </c>
      <c r="J117" s="849">
        <f ca="1">'Battery Design'!J500</f>
        <v>268.88220032310278</v>
      </c>
      <c r="K117" s="849">
        <f ca="1">'Battery Design'!K500</f>
        <v>268.88220032310278</v>
      </c>
      <c r="L117" s="849">
        <f ca="1">'Battery Design'!L500</f>
        <v>268.88220032310278</v>
      </c>
      <c r="M117" s="849">
        <f ca="1">'Battery Design'!M500</f>
        <v>268.88220032310278</v>
      </c>
    </row>
    <row r="118" spans="1:13" ht="15" x14ac:dyDescent="0.15">
      <c r="A118" s="26"/>
      <c r="B118" s="346" t="s">
        <v>229</v>
      </c>
      <c r="G118" s="11">
        <f t="shared" ref="G118:M118" ca="1" si="24">G102/G110*1000</f>
        <v>440.31251982477716</v>
      </c>
      <c r="H118" s="11">
        <f t="shared" ca="1" si="24"/>
        <v>440.31251982477716</v>
      </c>
      <c r="I118" s="11">
        <f t="shared" ca="1" si="24"/>
        <v>440.31251982477716</v>
      </c>
      <c r="J118" s="11">
        <f t="shared" ca="1" si="24"/>
        <v>440.31251982477716</v>
      </c>
      <c r="K118" s="11">
        <f t="shared" ca="1" si="24"/>
        <v>440.31251982477716</v>
      </c>
      <c r="L118" s="11">
        <f t="shared" ca="1" si="24"/>
        <v>440.31251982477716</v>
      </c>
      <c r="M118" s="11">
        <f t="shared" ca="1" si="24"/>
        <v>440.31251982477716</v>
      </c>
    </row>
    <row r="119" spans="1:13" ht="15" x14ac:dyDescent="0.15">
      <c r="A119" s="26"/>
      <c r="B119" s="346" t="s">
        <v>230</v>
      </c>
      <c r="G119" s="11">
        <f t="shared" ref="G119:M119" ca="1" si="25">G102/G112*1000</f>
        <v>228.54987027467718</v>
      </c>
      <c r="H119" s="11">
        <f t="shared" ca="1" si="25"/>
        <v>228.54987027467718</v>
      </c>
      <c r="I119" s="11">
        <f t="shared" ca="1" si="25"/>
        <v>228.54987027467718</v>
      </c>
      <c r="J119" s="11">
        <f t="shared" ca="1" si="25"/>
        <v>228.54987027467718</v>
      </c>
      <c r="K119" s="11">
        <f t="shared" ca="1" si="25"/>
        <v>228.54987027467718</v>
      </c>
      <c r="L119" s="11">
        <f t="shared" ca="1" si="25"/>
        <v>228.54987027467718</v>
      </c>
      <c r="M119" s="11">
        <f t="shared" ca="1" si="25"/>
        <v>228.54987027467718</v>
      </c>
    </row>
    <row r="120" spans="1:13" x14ac:dyDescent="0.15">
      <c r="A120" s="26"/>
      <c r="B120" s="346" t="s">
        <v>231</v>
      </c>
      <c r="G120" s="481">
        <f t="shared" ref="G120:M120" ca="1" si="26">G112/G110</f>
        <v>1.9265489816100008</v>
      </c>
      <c r="H120" s="481">
        <f t="shared" ca="1" si="26"/>
        <v>1.9265489816100008</v>
      </c>
      <c r="I120" s="481">
        <f t="shared" ca="1" si="26"/>
        <v>1.9265489816100008</v>
      </c>
      <c r="J120" s="481">
        <f t="shared" ca="1" si="26"/>
        <v>1.9265489816100008</v>
      </c>
      <c r="K120" s="481">
        <f t="shared" ca="1" si="26"/>
        <v>1.9265489816100008</v>
      </c>
      <c r="L120" s="481">
        <f t="shared" ca="1" si="26"/>
        <v>1.9265489816100008</v>
      </c>
      <c r="M120" s="481">
        <f t="shared" ca="1" si="26"/>
        <v>1.9265489816100008</v>
      </c>
    </row>
    <row r="121" spans="1:13" ht="13" x14ac:dyDescent="0.15">
      <c r="A121" s="26"/>
    </row>
    <row r="122" spans="1:13" x14ac:dyDescent="0.15">
      <c r="A122" s="26"/>
      <c r="B122" s="507" t="s">
        <v>232</v>
      </c>
    </row>
    <row r="123" spans="1:13" ht="13" x14ac:dyDescent="0.15">
      <c r="A123" s="26">
        <v>14</v>
      </c>
      <c r="B123" s="363" t="s">
        <v>233</v>
      </c>
      <c r="C123" s="9"/>
      <c r="D123" s="9"/>
      <c r="E123" s="9"/>
      <c r="F123" s="9"/>
      <c r="G123" s="831">
        <f ca="1">'Battery Design'!G282</f>
        <v>120</v>
      </c>
      <c r="H123" s="481">
        <f ca="1">'Battery Design'!H282</f>
        <v>120</v>
      </c>
      <c r="I123" s="831">
        <f ca="1">'Battery Design'!I282</f>
        <v>120</v>
      </c>
      <c r="J123" s="831">
        <f ca="1">'Battery Design'!J282</f>
        <v>120</v>
      </c>
      <c r="K123" s="831">
        <f ca="1">'Battery Design'!K282</f>
        <v>120</v>
      </c>
      <c r="L123" s="831">
        <f ca="1">'Battery Design'!L282</f>
        <v>120</v>
      </c>
      <c r="M123" s="831">
        <f ca="1">'Battery Design'!M282</f>
        <v>120</v>
      </c>
    </row>
    <row r="124" spans="1:13" ht="13" x14ac:dyDescent="0.15">
      <c r="A124" s="26">
        <v>16</v>
      </c>
      <c r="B124" s="363" t="s">
        <v>234</v>
      </c>
      <c r="C124" s="9"/>
      <c r="D124" s="9"/>
      <c r="E124" s="9"/>
      <c r="F124" s="9"/>
      <c r="G124" s="831">
        <f ca="1">'Battery Design'!G283</f>
        <v>130.28605121812248</v>
      </c>
      <c r="H124" s="831">
        <f ca="1">'Battery Design'!H283</f>
        <v>130.28605121812248</v>
      </c>
      <c r="I124" s="831">
        <f ca="1">'Battery Design'!I283</f>
        <v>130.28605121812248</v>
      </c>
      <c r="J124" s="831">
        <f ca="1">'Battery Design'!J283</f>
        <v>130.28605121812248</v>
      </c>
      <c r="K124" s="831">
        <f ca="1">'Battery Design'!K283</f>
        <v>130.28605121812248</v>
      </c>
      <c r="L124" s="831">
        <f ca="1">'Battery Design'!L283</f>
        <v>130.28605121812248</v>
      </c>
      <c r="M124" s="831">
        <f ca="1">'Battery Design'!M283</f>
        <v>130.28605121812248</v>
      </c>
    </row>
    <row r="125" spans="1:13" x14ac:dyDescent="0.2">
      <c r="A125" s="26">
        <v>15</v>
      </c>
      <c r="B125" s="9" t="s">
        <v>235</v>
      </c>
      <c r="C125" s="9"/>
      <c r="D125" s="9"/>
      <c r="E125" s="9"/>
      <c r="F125" s="9"/>
      <c r="G125" s="481">
        <f ca="1">'Battery Design'!G284</f>
        <v>5.8283984106079121</v>
      </c>
      <c r="H125" s="481">
        <f ca="1">'Battery Design'!H284</f>
        <v>5.8283984106079121</v>
      </c>
      <c r="I125" s="481">
        <f ca="1">'Battery Design'!I284</f>
        <v>5.8283984106079121</v>
      </c>
      <c r="J125" s="481">
        <f ca="1">'Battery Design'!J284</f>
        <v>5.8283984106079121</v>
      </c>
      <c r="K125" s="481">
        <f ca="1">'Battery Design'!K284</f>
        <v>5.8283984106079121</v>
      </c>
      <c r="L125" s="481">
        <f ca="1">'Battery Design'!L284</f>
        <v>5.8283984106079121</v>
      </c>
      <c r="M125" s="481">
        <f ca="1">'Battery Design'!M284</f>
        <v>5.8283984106079121</v>
      </c>
    </row>
    <row r="126" spans="1:13" x14ac:dyDescent="0.2">
      <c r="A126" s="26">
        <v>17</v>
      </c>
      <c r="B126" s="9" t="s">
        <v>236</v>
      </c>
      <c r="C126" s="9"/>
      <c r="D126" s="9"/>
      <c r="E126" s="9"/>
      <c r="F126" s="9"/>
      <c r="G126" s="481">
        <f ca="1">'Battery Design'!G285</f>
        <v>6.4112382516687036</v>
      </c>
      <c r="H126" s="481">
        <f ca="1">'Battery Design'!H285</f>
        <v>6.4112382516687036</v>
      </c>
      <c r="I126" s="481">
        <f ca="1">'Battery Design'!I285</f>
        <v>6.4112382516687036</v>
      </c>
      <c r="J126" s="481">
        <f ca="1">'Battery Design'!J285</f>
        <v>6.4112382516687036</v>
      </c>
      <c r="K126" s="481">
        <f ca="1">'Battery Design'!K285</f>
        <v>6.4112382516687036</v>
      </c>
      <c r="L126" s="481">
        <f ca="1">'Battery Design'!L285</f>
        <v>6.4112382516687036</v>
      </c>
      <c r="M126" s="481">
        <f ca="1">'Battery Design'!M285</f>
        <v>6.4112382516687036</v>
      </c>
    </row>
    <row r="127" spans="1:13" ht="13" x14ac:dyDescent="0.15">
      <c r="A127" s="26"/>
      <c r="G127" s="396"/>
      <c r="H127" s="396"/>
      <c r="I127" s="396"/>
      <c r="J127" s="396"/>
      <c r="K127" s="396"/>
      <c r="L127" s="396"/>
      <c r="M127" s="396"/>
    </row>
    <row r="128" spans="1:13" x14ac:dyDescent="0.15">
      <c r="A128" s="26"/>
      <c r="B128" s="507" t="s">
        <v>237</v>
      </c>
      <c r="G128" s="396"/>
      <c r="H128" s="396"/>
      <c r="I128" s="396"/>
      <c r="J128" s="396"/>
      <c r="K128" s="396"/>
      <c r="L128" s="396"/>
      <c r="M128" s="396"/>
    </row>
    <row r="129" spans="1:14" ht="13" x14ac:dyDescent="0.15">
      <c r="A129" s="26"/>
      <c r="B129" s="346" t="s">
        <v>238</v>
      </c>
      <c r="G129" s="15">
        <f t="shared" ref="G129:M129" ca="1" si="27">G87/G58</f>
        <v>0.71547926017387131</v>
      </c>
      <c r="H129" s="15">
        <f t="shared" ca="1" si="27"/>
        <v>0.71547926017387131</v>
      </c>
      <c r="I129" s="15">
        <f t="shared" ca="1" si="27"/>
        <v>0.71547926017387131</v>
      </c>
      <c r="J129" s="15">
        <f t="shared" ca="1" si="27"/>
        <v>0.71547926017387131</v>
      </c>
      <c r="K129" s="15">
        <f t="shared" ca="1" si="27"/>
        <v>0.71547926017387131</v>
      </c>
      <c r="L129" s="15">
        <f t="shared" ca="1" si="27"/>
        <v>0.71547926017387131</v>
      </c>
      <c r="M129" s="15">
        <f t="shared" ca="1" si="27"/>
        <v>0.71547926017387131</v>
      </c>
    </row>
    <row r="130" spans="1:14" ht="13" x14ac:dyDescent="0.15">
      <c r="A130" s="26"/>
      <c r="B130" s="346" t="s">
        <v>239</v>
      </c>
      <c r="G130" s="15">
        <f ca="1">G112*Dashboard!D74/'Summary of Results'!G86</f>
        <v>0.89321708961248947</v>
      </c>
      <c r="H130" s="15">
        <f ca="1">H112*Dashboard!E74/'Summary of Results'!H86</f>
        <v>0.89321708961248947</v>
      </c>
      <c r="I130" s="15">
        <f ca="1">I112*Dashboard!F74/'Summary of Results'!I86</f>
        <v>0.89321708961248947</v>
      </c>
      <c r="J130" s="15">
        <f ca="1">J112*Dashboard!G74/'Summary of Results'!J86</f>
        <v>0.89321708961248947</v>
      </c>
      <c r="K130" s="15">
        <f ca="1">K112*Dashboard!H74/'Summary of Results'!K86</f>
        <v>0.89321708961248947</v>
      </c>
      <c r="L130" s="15">
        <f ca="1">L112*Dashboard!I74/'Summary of Results'!L86</f>
        <v>0.89321708961248947</v>
      </c>
      <c r="M130" s="15">
        <f ca="1">M112*Dashboard!J74/'Summary of Results'!M86</f>
        <v>0.89321708961248947</v>
      </c>
    </row>
    <row r="131" spans="1:14" ht="13" x14ac:dyDescent="0.15">
      <c r="A131" s="26"/>
      <c r="B131" s="346" t="s">
        <v>240</v>
      </c>
      <c r="G131" s="15">
        <f t="shared" ref="G131:M131" ca="1" si="28">G113/G58</f>
        <v>0.63907830245060249</v>
      </c>
      <c r="H131" s="15">
        <f t="shared" ca="1" si="28"/>
        <v>0.63907830245060249</v>
      </c>
      <c r="I131" s="15">
        <f t="shared" ca="1" si="28"/>
        <v>0.63907830245060249</v>
      </c>
      <c r="J131" s="15">
        <f t="shared" ca="1" si="28"/>
        <v>0.63907830245060249</v>
      </c>
      <c r="K131" s="15">
        <f t="shared" ca="1" si="28"/>
        <v>0.63907830245060249</v>
      </c>
      <c r="L131" s="15">
        <f t="shared" ca="1" si="28"/>
        <v>0.63907830245060249</v>
      </c>
      <c r="M131" s="15">
        <f t="shared" ca="1" si="28"/>
        <v>0.63907830245060249</v>
      </c>
    </row>
    <row r="132" spans="1:14" thickBot="1" x14ac:dyDescent="0.2">
      <c r="A132" s="26"/>
      <c r="G132" s="396"/>
      <c r="H132" s="396"/>
      <c r="I132" s="396"/>
      <c r="J132" s="396"/>
      <c r="K132" s="396"/>
      <c r="L132" s="396"/>
      <c r="M132" s="396"/>
    </row>
    <row r="133" spans="1:14" ht="21" thickBot="1" x14ac:dyDescent="0.25">
      <c r="A133" s="26"/>
      <c r="B133" s="1262" t="s">
        <v>241</v>
      </c>
      <c r="C133" s="1263"/>
      <c r="D133" s="1263"/>
      <c r="E133" s="1263"/>
      <c r="F133" s="1263"/>
      <c r="G133" s="1263"/>
      <c r="H133" s="1263"/>
      <c r="I133" s="1263"/>
      <c r="J133" s="1263"/>
      <c r="K133" s="1263"/>
      <c r="L133" s="1263"/>
      <c r="M133" s="1264"/>
    </row>
    <row r="134" spans="1:14" ht="13" x14ac:dyDescent="0.15">
      <c r="A134" s="26"/>
      <c r="G134" s="396"/>
      <c r="H134" s="396"/>
      <c r="I134" s="396"/>
      <c r="J134" s="396"/>
      <c r="K134" s="396"/>
      <c r="L134" s="396"/>
      <c r="M134" s="396"/>
    </row>
    <row r="135" spans="1:14" ht="13" x14ac:dyDescent="0.15">
      <c r="A135" s="26">
        <v>24</v>
      </c>
      <c r="B135" s="8" t="s">
        <v>242</v>
      </c>
      <c r="G135" s="362">
        <f ca="1">'Manufacturing Costs'!G475*G48/1000000</f>
        <v>50.000000000004498</v>
      </c>
      <c r="H135" s="362">
        <f ca="1">'Manufacturing Costs'!H475*H48/1000000</f>
        <v>50.000000000004498</v>
      </c>
      <c r="I135" s="362">
        <f ca="1">'Manufacturing Costs'!I475*I48/1000000</f>
        <v>50.000000000004498</v>
      </c>
      <c r="J135" s="362">
        <f ca="1">'Manufacturing Costs'!J475*J48/1000000</f>
        <v>50.000000000004498</v>
      </c>
      <c r="K135" s="362">
        <f ca="1">'Manufacturing Costs'!K475*K48/1000000</f>
        <v>50.000000000004498</v>
      </c>
      <c r="L135" s="362">
        <f ca="1">'Manufacturing Costs'!L475*L48/1000000</f>
        <v>50.000000000004498</v>
      </c>
      <c r="M135" s="362">
        <f ca="1">'Manufacturing Costs'!M475*M48/1000000</f>
        <v>50.000000000004498</v>
      </c>
      <c r="N135" s="562"/>
    </row>
    <row r="136" spans="1:14" ht="13" x14ac:dyDescent="0.15">
      <c r="A136" s="26"/>
      <c r="B136" s="8" t="s">
        <v>104</v>
      </c>
      <c r="G136" s="227">
        <f>'Manufacturing Costs'!G475</f>
        <v>500000</v>
      </c>
      <c r="H136" s="227">
        <f>'Manufacturing Costs'!H475</f>
        <v>500000</v>
      </c>
      <c r="I136" s="227">
        <f>'Manufacturing Costs'!I475</f>
        <v>500000</v>
      </c>
      <c r="J136" s="227">
        <f>'Manufacturing Costs'!J475</f>
        <v>500000</v>
      </c>
      <c r="K136" s="227">
        <f>'Manufacturing Costs'!K475</f>
        <v>500000</v>
      </c>
      <c r="L136" s="227">
        <f>'Manufacturing Costs'!L475</f>
        <v>500000</v>
      </c>
      <c r="M136" s="227">
        <f>'Manufacturing Costs'!M475</f>
        <v>500000</v>
      </c>
    </row>
    <row r="137" spans="1:14" ht="13" x14ac:dyDescent="0.15">
      <c r="A137" s="26">
        <v>25</v>
      </c>
      <c r="B137" s="8" t="s">
        <v>243</v>
      </c>
      <c r="G137" s="227">
        <f>'Manufacturing Costs'!G477</f>
        <v>500000</v>
      </c>
      <c r="H137" s="227">
        <f>'Manufacturing Costs'!H477</f>
        <v>500000</v>
      </c>
      <c r="I137" s="227">
        <f>'Manufacturing Costs'!I477</f>
        <v>500000</v>
      </c>
      <c r="J137" s="227">
        <f>'Manufacturing Costs'!J477</f>
        <v>500000</v>
      </c>
      <c r="K137" s="227">
        <f>'Manufacturing Costs'!K477</f>
        <v>500000</v>
      </c>
      <c r="L137" s="227">
        <f>'Manufacturing Costs'!L477</f>
        <v>500000</v>
      </c>
      <c r="M137" s="227">
        <f>'Manufacturing Costs'!M477</f>
        <v>500000</v>
      </c>
    </row>
    <row r="138" spans="1:14" ht="13" x14ac:dyDescent="0.15">
      <c r="A138" s="26"/>
      <c r="B138" s="8" t="s">
        <v>244</v>
      </c>
      <c r="G138" s="227">
        <f>'Manufacturing Costs'!G11</f>
        <v>10000000</v>
      </c>
      <c r="H138" s="227">
        <f>'Manufacturing Costs'!H11</f>
        <v>10000000</v>
      </c>
      <c r="I138" s="227">
        <f>'Manufacturing Costs'!I11</f>
        <v>10000000</v>
      </c>
      <c r="J138" s="227">
        <f>'Manufacturing Costs'!J11</f>
        <v>10000000</v>
      </c>
      <c r="K138" s="227">
        <f>'Manufacturing Costs'!K11</f>
        <v>10000000</v>
      </c>
      <c r="L138" s="227">
        <f>'Manufacturing Costs'!L11</f>
        <v>10000000</v>
      </c>
      <c r="M138" s="227">
        <f>'Manufacturing Costs'!M11</f>
        <v>10000000</v>
      </c>
    </row>
    <row r="139" spans="1:14" ht="13" x14ac:dyDescent="0.15">
      <c r="A139" s="26"/>
      <c r="B139" s="8" t="s">
        <v>245</v>
      </c>
      <c r="G139" s="227">
        <f>'Manufacturing Costs'!G14</f>
        <v>200000000</v>
      </c>
      <c r="H139" s="227">
        <f>'Manufacturing Costs'!H14</f>
        <v>200000000</v>
      </c>
      <c r="I139" s="227">
        <f>'Manufacturing Costs'!I14</f>
        <v>200000000</v>
      </c>
      <c r="J139" s="227">
        <f>'Manufacturing Costs'!J14</f>
        <v>200000000</v>
      </c>
      <c r="K139" s="227">
        <f>'Manufacturing Costs'!K14</f>
        <v>200000000</v>
      </c>
      <c r="L139" s="227">
        <f>'Manufacturing Costs'!L14</f>
        <v>200000000</v>
      </c>
      <c r="M139" s="227">
        <f>'Manufacturing Costs'!M14</f>
        <v>200000000</v>
      </c>
    </row>
    <row r="140" spans="1:14" thickBot="1" x14ac:dyDescent="0.2">
      <c r="A140" s="26"/>
    </row>
    <row r="141" spans="1:14" ht="21" thickBot="1" x14ac:dyDescent="0.25">
      <c r="A141" s="26"/>
      <c r="B141" s="1262" t="s">
        <v>246</v>
      </c>
      <c r="C141" s="1263"/>
      <c r="D141" s="1263"/>
      <c r="E141" s="1263"/>
      <c r="F141" s="1263"/>
      <c r="G141" s="1263"/>
      <c r="H141" s="1263"/>
      <c r="I141" s="1263"/>
      <c r="J141" s="1263"/>
      <c r="K141" s="1263"/>
      <c r="L141" s="1263"/>
      <c r="M141" s="1264"/>
    </row>
    <row r="142" spans="1:14" ht="13" x14ac:dyDescent="0.15">
      <c r="A142" s="26"/>
    </row>
    <row r="143" spans="1:14" ht="13" x14ac:dyDescent="0.15">
      <c r="A143" s="26"/>
      <c r="B143" s="26" t="str">
        <f>'Manufacturing Costs'!B484</f>
        <v>Pack manufacturing strategy: Method 1: Packs are produced at the SAME rate (GWh/year) as cells (default)</v>
      </c>
      <c r="C143"/>
      <c r="D143" s="476">
        <f>'Manufacturing Costs'!E484</f>
        <v>1</v>
      </c>
      <c r="E143" s="8" t="s">
        <v>247</v>
      </c>
      <c r="F143"/>
    </row>
    <row r="144" spans="1:14" ht="13" x14ac:dyDescent="0.15">
      <c r="A144" s="26"/>
      <c r="B144"/>
      <c r="C144"/>
      <c r="D144" s="45"/>
      <c r="E144"/>
      <c r="F144"/>
    </row>
    <row r="145" spans="1:14" ht="13" x14ac:dyDescent="0.15">
      <c r="A145" s="26"/>
      <c r="B145" s="26" t="str">
        <f>'Manufacturing Costs'!B486</f>
        <v>Pack cost option: Cost to consumer - includes pack profit/warranty (Default)</v>
      </c>
      <c r="C145"/>
      <c r="D145" s="476">
        <f>'Manufacturing Costs'!E486</f>
        <v>1</v>
      </c>
      <c r="E145" s="8" t="s">
        <v>247</v>
      </c>
      <c r="F145"/>
    </row>
    <row r="146" spans="1:14" ht="13" x14ac:dyDescent="0.15">
      <c r="A146" s="26"/>
      <c r="B146"/>
      <c r="C146"/>
      <c r="D146"/>
      <c r="E146"/>
      <c r="F146"/>
    </row>
    <row r="147" spans="1:14" x14ac:dyDescent="0.15">
      <c r="A147" s="26"/>
      <c r="B147" s="1265" t="s">
        <v>248</v>
      </c>
      <c r="C147" s="1266"/>
      <c r="D147" s="694" t="s">
        <v>249</v>
      </c>
      <c r="E147"/>
      <c r="F147"/>
    </row>
    <row r="148" spans="1:14" x14ac:dyDescent="0.15">
      <c r="A148" s="26"/>
      <c r="B148" s="16"/>
      <c r="C148" s="16"/>
      <c r="D148" s="863"/>
      <c r="E148"/>
      <c r="F148"/>
    </row>
    <row r="149" spans="1:14" ht="13" x14ac:dyDescent="0.15">
      <c r="A149" s="26"/>
      <c r="B149" s="8" t="s">
        <v>250</v>
      </c>
      <c r="C149"/>
      <c r="D149" s="476" t="str">
        <f>'Manufacturing Costs'!E490</f>
        <v/>
      </c>
      <c r="E149" s="26"/>
      <c r="F149"/>
    </row>
    <row r="150" spans="1:14" ht="13" x14ac:dyDescent="0.15">
      <c r="A150" s="26"/>
      <c r="B150" s="8" t="s">
        <v>251</v>
      </c>
      <c r="C150"/>
      <c r="D150" s="476" t="str">
        <f>'Manufacturing Costs'!E491</f>
        <v>x</v>
      </c>
      <c r="E150" s="26"/>
      <c r="F150"/>
    </row>
    <row r="151" spans="1:14" ht="13" x14ac:dyDescent="0.15">
      <c r="A151" s="26"/>
      <c r="B151" s="8" t="s">
        <v>252</v>
      </c>
      <c r="C151"/>
      <c r="D151" s="476" t="str">
        <f>'Manufacturing Costs'!E492</f>
        <v>x</v>
      </c>
      <c r="E151" s="26"/>
      <c r="F151"/>
    </row>
    <row r="152" spans="1:14" ht="13" x14ac:dyDescent="0.15">
      <c r="A152" s="26"/>
    </row>
    <row r="153" spans="1:14" ht="16" x14ac:dyDescent="0.2">
      <c r="A153" s="26"/>
      <c r="B153" s="5" t="s">
        <v>253</v>
      </c>
    </row>
    <row r="154" spans="1:14" x14ac:dyDescent="0.15">
      <c r="A154" s="26"/>
      <c r="B154" s="507" t="s">
        <v>254</v>
      </c>
    </row>
    <row r="155" spans="1:14" ht="13" x14ac:dyDescent="0.15">
      <c r="A155" s="26"/>
      <c r="B155" s="8" t="s">
        <v>255</v>
      </c>
      <c r="C155" s="8" t="str">
        <f>"±" &amp; SUM('Manufacturing Costs'!G646:G647) &amp; "% error"</f>
        <v>±15% error</v>
      </c>
      <c r="G155" s="853">
        <f ca="1">'Manufacturing Costs'!G645</f>
        <v>12367.929746909376</v>
      </c>
      <c r="H155" s="853">
        <f ca="1">'Manufacturing Costs'!H645</f>
        <v>12367.929746909376</v>
      </c>
      <c r="I155" s="853">
        <f ca="1">'Manufacturing Costs'!I645</f>
        <v>12367.929746909376</v>
      </c>
      <c r="J155" s="853">
        <f ca="1">'Manufacturing Costs'!J645</f>
        <v>12367.929746909376</v>
      </c>
      <c r="K155" s="853">
        <f ca="1">'Manufacturing Costs'!K645</f>
        <v>12367.929746909376</v>
      </c>
      <c r="L155" s="853">
        <f ca="1">'Manufacturing Costs'!L645</f>
        <v>12367.929746909376</v>
      </c>
      <c r="M155" s="853">
        <f ca="1">'Manufacturing Costs'!M645</f>
        <v>12367.929746909376</v>
      </c>
      <c r="N155" s="562"/>
    </row>
    <row r="156" spans="1:14" ht="13" x14ac:dyDescent="0.15">
      <c r="A156" s="26"/>
      <c r="B156" s="8" t="s">
        <v>256</v>
      </c>
      <c r="G156" s="854">
        <f t="shared" ref="G156:M156" ca="1" si="29">G155/G22</f>
        <v>123.67929746905033</v>
      </c>
      <c r="H156" s="854">
        <f t="shared" ca="1" si="29"/>
        <v>123.67929746905033</v>
      </c>
      <c r="I156" s="854">
        <f t="shared" ca="1" si="29"/>
        <v>123.67929746905033</v>
      </c>
      <c r="J156" s="854">
        <f t="shared" ca="1" si="29"/>
        <v>123.67929746905033</v>
      </c>
      <c r="K156" s="854">
        <f t="shared" ca="1" si="29"/>
        <v>123.67929746905033</v>
      </c>
      <c r="L156" s="854">
        <f t="shared" ca="1" si="29"/>
        <v>123.67929746905033</v>
      </c>
      <c r="M156" s="854">
        <f t="shared" ca="1" si="29"/>
        <v>123.67929746905033</v>
      </c>
    </row>
    <row r="157" spans="1:14" ht="15" x14ac:dyDescent="0.2">
      <c r="A157" s="26"/>
      <c r="B157" s="8" t="s">
        <v>257</v>
      </c>
      <c r="G157" s="854">
        <f t="shared" ref="G157:M157" ca="1" si="30">G155/G23</f>
        <v>145.50505584594157</v>
      </c>
      <c r="H157" s="854">
        <f t="shared" ca="1" si="30"/>
        <v>145.50505584594157</v>
      </c>
      <c r="I157" s="854">
        <f t="shared" ca="1" si="30"/>
        <v>145.50505584594157</v>
      </c>
      <c r="J157" s="854">
        <f t="shared" ca="1" si="30"/>
        <v>145.50505584594157</v>
      </c>
      <c r="K157" s="854">
        <f t="shared" ca="1" si="30"/>
        <v>145.50505584594157</v>
      </c>
      <c r="L157" s="854">
        <f t="shared" ca="1" si="30"/>
        <v>145.50505584594157</v>
      </c>
      <c r="M157" s="854">
        <f t="shared" ca="1" si="30"/>
        <v>145.50505584594157</v>
      </c>
    </row>
    <row r="158" spans="1:14" ht="13" x14ac:dyDescent="0.15">
      <c r="A158" s="26"/>
    </row>
    <row r="159" spans="1:14" x14ac:dyDescent="0.15">
      <c r="A159" s="26"/>
      <c r="B159" s="507" t="s">
        <v>258</v>
      </c>
    </row>
    <row r="160" spans="1:14" ht="13" x14ac:dyDescent="0.15">
      <c r="A160" s="26">
        <v>20</v>
      </c>
      <c r="B160" s="8" t="s">
        <v>259</v>
      </c>
      <c r="G160" s="853">
        <f ca="1">'Manufacturing Costs'!G639</f>
        <v>12327.929746909376</v>
      </c>
      <c r="H160" s="853">
        <f ca="1">'Manufacturing Costs'!H639</f>
        <v>12327.929746909376</v>
      </c>
      <c r="I160" s="853">
        <f ca="1">'Manufacturing Costs'!I639</f>
        <v>12327.929746909376</v>
      </c>
      <c r="J160" s="853">
        <f ca="1">'Manufacturing Costs'!J639</f>
        <v>12327.929746909376</v>
      </c>
      <c r="K160" s="853">
        <f ca="1">'Manufacturing Costs'!K639</f>
        <v>12327.929746909376</v>
      </c>
      <c r="L160" s="853">
        <f ca="1">'Manufacturing Costs'!L639</f>
        <v>12327.929746909376</v>
      </c>
      <c r="M160" s="853">
        <f ca="1">'Manufacturing Costs'!M639</f>
        <v>12327.929746909376</v>
      </c>
    </row>
    <row r="161" spans="1:13" ht="13" x14ac:dyDescent="0.15">
      <c r="A161" s="26">
        <v>21</v>
      </c>
      <c r="B161" s="8" t="s">
        <v>123</v>
      </c>
      <c r="G161" s="854">
        <f t="shared" ref="G161:M161" ca="1" si="31">G160/G48</f>
        <v>123.27929746908268</v>
      </c>
      <c r="H161" s="854">
        <f t="shared" ca="1" si="31"/>
        <v>123.27929746908268</v>
      </c>
      <c r="I161" s="854">
        <f t="shared" ca="1" si="31"/>
        <v>123.27929746908268</v>
      </c>
      <c r="J161" s="854">
        <f t="shared" ca="1" si="31"/>
        <v>123.27929746908268</v>
      </c>
      <c r="K161" s="854">
        <f t="shared" ca="1" si="31"/>
        <v>123.27929746908268</v>
      </c>
      <c r="L161" s="854">
        <f t="shared" ca="1" si="31"/>
        <v>123.27929746908268</v>
      </c>
      <c r="M161" s="854">
        <f t="shared" ca="1" si="31"/>
        <v>123.27929746908268</v>
      </c>
    </row>
    <row r="162" spans="1:13" ht="15" x14ac:dyDescent="0.2">
      <c r="A162" s="26">
        <v>22</v>
      </c>
      <c r="B162" s="8" t="s">
        <v>260</v>
      </c>
      <c r="G162" s="854">
        <f t="shared" ref="G162:M162" ca="1" si="32">G160/G49</f>
        <v>145.03446761068551</v>
      </c>
      <c r="H162" s="854">
        <f t="shared" ca="1" si="32"/>
        <v>145.03446761068551</v>
      </c>
      <c r="I162" s="854">
        <f t="shared" ca="1" si="32"/>
        <v>145.03446761068551</v>
      </c>
      <c r="J162" s="854">
        <f t="shared" ca="1" si="32"/>
        <v>145.03446761068551</v>
      </c>
      <c r="K162" s="854">
        <f t="shared" ca="1" si="32"/>
        <v>145.03446761068551</v>
      </c>
      <c r="L162" s="854">
        <f t="shared" ca="1" si="32"/>
        <v>145.03446761068551</v>
      </c>
      <c r="M162" s="854">
        <f t="shared" ca="1" si="32"/>
        <v>145.03446761068551</v>
      </c>
    </row>
    <row r="163" spans="1:13" ht="13" x14ac:dyDescent="0.15">
      <c r="A163" s="26"/>
      <c r="G163" s="854"/>
      <c r="H163" s="854"/>
      <c r="I163" s="854"/>
      <c r="J163" s="854"/>
      <c r="K163" s="854"/>
      <c r="L163" s="854"/>
      <c r="M163" s="854"/>
    </row>
    <row r="164" spans="1:13" x14ac:dyDescent="0.15">
      <c r="A164" s="26"/>
      <c r="B164" s="507" t="s">
        <v>261</v>
      </c>
      <c r="G164" s="854"/>
      <c r="H164" s="854"/>
      <c r="I164" s="854"/>
      <c r="J164" s="854"/>
      <c r="K164" s="854"/>
      <c r="L164" s="854"/>
      <c r="M164" s="854"/>
    </row>
    <row r="165" spans="1:13" ht="13" x14ac:dyDescent="0.15">
      <c r="A165" s="26"/>
      <c r="B165" s="8" t="s">
        <v>262</v>
      </c>
      <c r="G165" s="1202">
        <f ca="1">'Manufacturing Costs'!G579+IF(_manufact_method=3,0,G171*'Battery Design'!G25)</f>
        <v>565.67999019005856</v>
      </c>
      <c r="H165" s="1202">
        <f ca="1">'Manufacturing Costs'!H579+IF(_manufact_method=3,0,H171*'Battery Design'!H25)</f>
        <v>565.67999019005856</v>
      </c>
      <c r="I165" s="1202">
        <f ca="1">'Manufacturing Costs'!I579+IF(_manufact_method=3,0,I171*'Battery Design'!I25)</f>
        <v>565.67999019005856</v>
      </c>
      <c r="J165" s="1202">
        <f ca="1">'Manufacturing Costs'!J579+IF(_manufact_method=3,0,J171*'Battery Design'!J25)</f>
        <v>565.67999019005856</v>
      </c>
      <c r="K165" s="1202">
        <f ca="1">'Manufacturing Costs'!K579+IF(_manufact_method=3,0,K171*'Battery Design'!K25)</f>
        <v>565.67999019005856</v>
      </c>
      <c r="L165" s="1202">
        <f ca="1">'Manufacturing Costs'!L579+IF(_manufact_method=3,0,L171*'Battery Design'!L25)</f>
        <v>565.67999019005856</v>
      </c>
      <c r="M165" s="1202">
        <f ca="1">'Manufacturing Costs'!M579+IF(_manufact_method=3,0,M171*'Battery Design'!M25)</f>
        <v>565.67999019005856</v>
      </c>
    </row>
    <row r="166" spans="1:13" ht="13" x14ac:dyDescent="0.15">
      <c r="A166" s="26"/>
      <c r="B166" s="8" t="s">
        <v>263</v>
      </c>
      <c r="G166" s="1202">
        <f ca="1">G165*'Battery Design'!G29</f>
        <v>11313.599803801171</v>
      </c>
      <c r="H166" s="1202">
        <f ca="1">H165*'Battery Design'!H29</f>
        <v>11313.599803801171</v>
      </c>
      <c r="I166" s="1202">
        <f ca="1">I165*'Battery Design'!I29</f>
        <v>11313.599803801171</v>
      </c>
      <c r="J166" s="1202">
        <f ca="1">J165*'Battery Design'!J29</f>
        <v>11313.599803801171</v>
      </c>
      <c r="K166" s="1202">
        <f ca="1">K165*'Battery Design'!K29</f>
        <v>11313.599803801171</v>
      </c>
      <c r="L166" s="1202">
        <f ca="1">L165*'Battery Design'!L29</f>
        <v>11313.599803801171</v>
      </c>
      <c r="M166" s="1202">
        <f ca="1">M165*'Battery Design'!M29</f>
        <v>11313.599803801171</v>
      </c>
    </row>
    <row r="167" spans="1:13" ht="13" x14ac:dyDescent="0.15">
      <c r="A167" s="26"/>
      <c r="B167" s="8" t="s">
        <v>264</v>
      </c>
      <c r="G167" s="854">
        <f t="shared" ref="G167:M167" ca="1" si="33">G165/G75</f>
        <v>113.1359980379916</v>
      </c>
      <c r="H167" s="854">
        <f t="shared" ca="1" si="33"/>
        <v>113.1359980379916</v>
      </c>
      <c r="I167" s="854">
        <f t="shared" ca="1" si="33"/>
        <v>113.1359980379916</v>
      </c>
      <c r="J167" s="854">
        <f t="shared" ca="1" si="33"/>
        <v>113.1359980379916</v>
      </c>
      <c r="K167" s="854">
        <f t="shared" ca="1" si="33"/>
        <v>113.1359980379916</v>
      </c>
      <c r="L167" s="854">
        <f t="shared" ca="1" si="33"/>
        <v>113.1359980379916</v>
      </c>
      <c r="M167" s="854">
        <f t="shared" ca="1" si="33"/>
        <v>113.1359980379916</v>
      </c>
    </row>
    <row r="168" spans="1:13" ht="15" x14ac:dyDescent="0.2">
      <c r="A168" s="26"/>
      <c r="B168" s="8" t="s">
        <v>265</v>
      </c>
      <c r="G168" s="854">
        <f t="shared" ref="G168:M168" ca="1" si="34">G165/G76</f>
        <v>133.10117416234306</v>
      </c>
      <c r="H168" s="854">
        <f t="shared" ca="1" si="34"/>
        <v>133.10117416234306</v>
      </c>
      <c r="I168" s="854">
        <f t="shared" ca="1" si="34"/>
        <v>133.10117416234306</v>
      </c>
      <c r="J168" s="854">
        <f t="shared" ca="1" si="34"/>
        <v>133.10117416234306</v>
      </c>
      <c r="K168" s="854">
        <f t="shared" ca="1" si="34"/>
        <v>133.10117416234306</v>
      </c>
      <c r="L168" s="854">
        <f t="shared" ca="1" si="34"/>
        <v>133.10117416234306</v>
      </c>
      <c r="M168" s="854">
        <f t="shared" ca="1" si="34"/>
        <v>133.10117416234306</v>
      </c>
    </row>
    <row r="169" spans="1:13" ht="13" x14ac:dyDescent="0.15">
      <c r="A169" s="26"/>
      <c r="G169" s="854"/>
      <c r="H169" s="854"/>
      <c r="I169" s="854"/>
      <c r="J169" s="854"/>
      <c r="K169" s="854"/>
      <c r="L169" s="854"/>
      <c r="M169" s="854"/>
    </row>
    <row r="170" spans="1:13" x14ac:dyDescent="0.15">
      <c r="A170" s="26"/>
      <c r="B170" s="507" t="s">
        <v>266</v>
      </c>
    </row>
    <row r="171" spans="1:13" ht="13" x14ac:dyDescent="0.15">
      <c r="A171" s="26"/>
      <c r="B171" s="8" t="s">
        <v>267</v>
      </c>
      <c r="G171" s="1203">
        <f ca="1">'Manufacturing Costs'!G537</f>
        <v>25.865181872399887</v>
      </c>
      <c r="H171" s="1203">
        <f ca="1">'Manufacturing Costs'!H537</f>
        <v>25.865181872399887</v>
      </c>
      <c r="I171" s="1203">
        <f ca="1">'Manufacturing Costs'!I537</f>
        <v>25.865181872399887</v>
      </c>
      <c r="J171" s="1203">
        <f ca="1">'Manufacturing Costs'!J537</f>
        <v>25.865181872399887</v>
      </c>
      <c r="K171" s="1203">
        <f ca="1">'Manufacturing Costs'!K537</f>
        <v>25.865181872399887</v>
      </c>
      <c r="L171" s="1203">
        <f ca="1">'Manufacturing Costs'!L537</f>
        <v>25.865181872399887</v>
      </c>
      <c r="M171" s="1203">
        <f ca="1">'Manufacturing Costs'!M537</f>
        <v>25.865181872399887</v>
      </c>
    </row>
    <row r="172" spans="1:13" ht="13" x14ac:dyDescent="0.15">
      <c r="A172" s="26"/>
      <c r="B172" s="8" t="s">
        <v>268</v>
      </c>
      <c r="G172" s="1202">
        <f t="shared" ref="G172:M172" ca="1" si="35">G171*G71</f>
        <v>517.30363744799774</v>
      </c>
      <c r="H172" s="1202">
        <f t="shared" ca="1" si="35"/>
        <v>517.30363744799774</v>
      </c>
      <c r="I172" s="1202">
        <f t="shared" ca="1" si="35"/>
        <v>517.30363744799774</v>
      </c>
      <c r="J172" s="1202">
        <f t="shared" ca="1" si="35"/>
        <v>517.30363744799774</v>
      </c>
      <c r="K172" s="1202">
        <f t="shared" ca="1" si="35"/>
        <v>517.30363744799774</v>
      </c>
      <c r="L172" s="1202">
        <f t="shared" ca="1" si="35"/>
        <v>517.30363744799774</v>
      </c>
      <c r="M172" s="1202">
        <f t="shared" ca="1" si="35"/>
        <v>517.30363744799774</v>
      </c>
    </row>
    <row r="173" spans="1:13" ht="13" x14ac:dyDescent="0.15">
      <c r="A173" s="26"/>
      <c r="B173" s="8" t="s">
        <v>269</v>
      </c>
      <c r="G173" s="1202">
        <f ca="1">'Manufacturing Costs'!G539</f>
        <v>10346.072748959956</v>
      </c>
      <c r="H173" s="1202">
        <f ca="1">'Manufacturing Costs'!H539</f>
        <v>10346.072748959956</v>
      </c>
      <c r="I173" s="1202">
        <f ca="1">'Manufacturing Costs'!I539</f>
        <v>10346.072748959956</v>
      </c>
      <c r="J173" s="1202">
        <f ca="1">'Manufacturing Costs'!J539</f>
        <v>10346.072748959956</v>
      </c>
      <c r="K173" s="1202">
        <f ca="1">'Manufacturing Costs'!K539</f>
        <v>10346.072748959956</v>
      </c>
      <c r="L173" s="1202">
        <f ca="1">'Manufacturing Costs'!L539</f>
        <v>10346.072748959956</v>
      </c>
      <c r="M173" s="1202">
        <f ca="1">'Manufacturing Costs'!M539</f>
        <v>10346.072748959956</v>
      </c>
    </row>
    <row r="174" spans="1:13" ht="13" x14ac:dyDescent="0.15">
      <c r="A174" s="26">
        <v>23</v>
      </c>
      <c r="B174" s="8" t="s">
        <v>270</v>
      </c>
      <c r="G174" s="854">
        <f t="shared" ref="G174:M174" ca="1" si="36">G171/G101</f>
        <v>103.46072748956315</v>
      </c>
      <c r="H174" s="854">
        <f t="shared" ca="1" si="36"/>
        <v>103.46072748956315</v>
      </c>
      <c r="I174" s="854">
        <f t="shared" ca="1" si="36"/>
        <v>103.46072748956315</v>
      </c>
      <c r="J174" s="854">
        <f t="shared" ca="1" si="36"/>
        <v>103.46072748956315</v>
      </c>
      <c r="K174" s="854">
        <f t="shared" ca="1" si="36"/>
        <v>103.46072748956315</v>
      </c>
      <c r="L174" s="854">
        <f t="shared" ca="1" si="36"/>
        <v>103.46072748956315</v>
      </c>
      <c r="M174" s="854">
        <f t="shared" ca="1" si="36"/>
        <v>103.46072748956315</v>
      </c>
    </row>
    <row r="175" spans="1:13" ht="15" x14ac:dyDescent="0.2">
      <c r="A175" s="26"/>
      <c r="B175" s="8" t="s">
        <v>271</v>
      </c>
      <c r="G175" s="854">
        <f t="shared" ref="G175:M175" ca="1" si="37">G171/G102</f>
        <v>121.71850292889783</v>
      </c>
      <c r="H175" s="854">
        <f t="shared" ca="1" si="37"/>
        <v>121.71850292889783</v>
      </c>
      <c r="I175" s="854">
        <f t="shared" ca="1" si="37"/>
        <v>121.71850292889783</v>
      </c>
      <c r="J175" s="854">
        <f t="shared" ca="1" si="37"/>
        <v>121.71850292889783</v>
      </c>
      <c r="K175" s="854">
        <f t="shared" ca="1" si="37"/>
        <v>121.71850292889783</v>
      </c>
      <c r="L175" s="854">
        <f t="shared" ca="1" si="37"/>
        <v>121.71850292889783</v>
      </c>
      <c r="M175" s="854">
        <f t="shared" ca="1" si="37"/>
        <v>121.71850292889783</v>
      </c>
    </row>
    <row r="176" spans="1:13" ht="13" x14ac:dyDescent="0.15">
      <c r="A176" s="26"/>
    </row>
    <row r="177" spans="1:32" x14ac:dyDescent="0.15">
      <c r="A177" s="26"/>
      <c r="B177" s="507" t="s">
        <v>237</v>
      </c>
      <c r="G177" s="362"/>
      <c r="H177" s="362"/>
      <c r="I177" s="362"/>
      <c r="J177" s="362"/>
      <c r="K177" s="362"/>
      <c r="L177" s="362"/>
      <c r="M177" s="362"/>
      <c r="O177" s="363"/>
    </row>
    <row r="178" spans="1:32" ht="13" x14ac:dyDescent="0.15">
      <c r="A178" s="26"/>
      <c r="B178" s="346" t="s">
        <v>272</v>
      </c>
      <c r="G178" s="15">
        <f t="shared" ref="G178:M178" ca="1" si="38">G166/G160</f>
        <v>0.91772098284689707</v>
      </c>
      <c r="H178" s="15">
        <f t="shared" ca="1" si="38"/>
        <v>0.91772098284689707</v>
      </c>
      <c r="I178" s="15">
        <f t="shared" ca="1" si="38"/>
        <v>0.91772098284689707</v>
      </c>
      <c r="J178" s="15">
        <f t="shared" ca="1" si="38"/>
        <v>0.91772098284689707</v>
      </c>
      <c r="K178" s="15">
        <f t="shared" ca="1" si="38"/>
        <v>0.91772098284689707</v>
      </c>
      <c r="L178" s="15">
        <f t="shared" ca="1" si="38"/>
        <v>0.91772098284689707</v>
      </c>
      <c r="M178" s="15">
        <f t="shared" ca="1" si="38"/>
        <v>0.91772098284689707</v>
      </c>
      <c r="O178" s="363"/>
    </row>
    <row r="179" spans="1:32" ht="13" x14ac:dyDescent="0.15">
      <c r="A179" s="26"/>
      <c r="B179" s="346" t="s">
        <v>273</v>
      </c>
      <c r="G179" s="15">
        <f ca="1">G171*Dashboard!D74/'Summary of Results'!G165</f>
        <v>0.91448106070393753</v>
      </c>
      <c r="H179" s="15">
        <f ca="1">H171*Dashboard!E74/'Summary of Results'!H165</f>
        <v>0.91448106070393753</v>
      </c>
      <c r="I179" s="15">
        <f ca="1">I171*Dashboard!F74/'Summary of Results'!I165</f>
        <v>0.91448106070393753</v>
      </c>
      <c r="J179" s="15">
        <f ca="1">J171*Dashboard!G74/'Summary of Results'!J165</f>
        <v>0.91448106070393753</v>
      </c>
      <c r="K179" s="15">
        <f ca="1">K171*Dashboard!H74/'Summary of Results'!K165</f>
        <v>0.91448106070393753</v>
      </c>
      <c r="L179" s="15">
        <f ca="1">L171*Dashboard!I74/'Summary of Results'!L165</f>
        <v>0.91448106070393753</v>
      </c>
      <c r="M179" s="15">
        <f ca="1">M171*Dashboard!J74/'Summary of Results'!M165</f>
        <v>0.91448106070393753</v>
      </c>
      <c r="O179" s="363"/>
    </row>
    <row r="180" spans="1:32" ht="13" x14ac:dyDescent="0.15">
      <c r="A180" s="26"/>
      <c r="B180" s="346" t="s">
        <v>274</v>
      </c>
      <c r="G180" s="15">
        <f t="shared" ref="G180:M180" ca="1" si="39">G173/G160</f>
        <v>0.83923845782409057</v>
      </c>
      <c r="H180" s="15">
        <f t="shared" ca="1" si="39"/>
        <v>0.83923845782409057</v>
      </c>
      <c r="I180" s="15">
        <f t="shared" ca="1" si="39"/>
        <v>0.83923845782409057</v>
      </c>
      <c r="J180" s="15">
        <f t="shared" ca="1" si="39"/>
        <v>0.83923845782409057</v>
      </c>
      <c r="K180" s="15">
        <f t="shared" ca="1" si="39"/>
        <v>0.83923845782409057</v>
      </c>
      <c r="L180" s="15">
        <f t="shared" ca="1" si="39"/>
        <v>0.83923845782409057</v>
      </c>
      <c r="M180" s="15">
        <f t="shared" ca="1" si="39"/>
        <v>0.83923845782409057</v>
      </c>
      <c r="O180" s="363"/>
    </row>
    <row r="181" spans="1:32" ht="13" x14ac:dyDescent="0.15">
      <c r="A181" s="26"/>
      <c r="B181" s="346"/>
      <c r="G181" s="366"/>
      <c r="H181" s="366"/>
      <c r="I181" s="366"/>
      <c r="J181" s="366"/>
      <c r="K181" s="366"/>
      <c r="L181" s="366"/>
      <c r="M181" s="366"/>
      <c r="O181" s="363"/>
    </row>
    <row r="182" spans="1:32" thickBot="1" x14ac:dyDescent="0.2">
      <c r="A182" s="26"/>
      <c r="O182" s="363"/>
    </row>
    <row r="183" spans="1:32" ht="21" thickBot="1" x14ac:dyDescent="0.25">
      <c r="A183" s="26"/>
      <c r="B183" s="1262" t="s">
        <v>275</v>
      </c>
      <c r="C183" s="1263"/>
      <c r="D183" s="1263"/>
      <c r="E183" s="1263"/>
      <c r="F183" s="1263"/>
      <c r="G183" s="1263"/>
      <c r="H183" s="1263"/>
      <c r="I183" s="1263"/>
      <c r="J183" s="1263"/>
      <c r="K183" s="1263"/>
      <c r="L183" s="1263"/>
      <c r="M183" s="1264"/>
      <c r="N183" s="562"/>
      <c r="O183" s="363"/>
    </row>
    <row r="184" spans="1:32" ht="15" thickBot="1" x14ac:dyDescent="0.2">
      <c r="A184" s="26"/>
      <c r="G184" s="73"/>
      <c r="H184" s="73"/>
      <c r="I184" s="73"/>
      <c r="J184" s="73"/>
      <c r="K184" s="73"/>
      <c r="L184" s="73"/>
      <c r="M184" s="73"/>
    </row>
    <row r="185" spans="1:32" ht="19" thickBot="1" x14ac:dyDescent="0.25">
      <c r="A185" s="26"/>
      <c r="B185" s="1288" t="s">
        <v>276</v>
      </c>
      <c r="C185" s="1289"/>
      <c r="D185" s="1289"/>
      <c r="E185" s="1289"/>
      <c r="F185" s="1289"/>
      <c r="G185" s="1289"/>
      <c r="H185" s="1289"/>
      <c r="I185" s="1289"/>
      <c r="J185" s="1289"/>
      <c r="K185" s="1289"/>
      <c r="L185" s="1289"/>
      <c r="M185" s="1290"/>
    </row>
    <row r="186" spans="1:32" ht="20.25" customHeight="1" thickBot="1" x14ac:dyDescent="0.25">
      <c r="A186" s="26"/>
      <c r="B186" s="1285" t="str">
        <f>Chem!C5</f>
        <v>Li(Ni0.5Mn0.3Co0.2)O2 / Graphite</v>
      </c>
      <c r="C186" s="1286"/>
      <c r="D186" s="1286"/>
      <c r="E186" s="1286"/>
      <c r="F186" s="1286"/>
      <c r="G186" s="1286"/>
      <c r="H186" s="1286"/>
      <c r="I186" s="1286"/>
      <c r="J186" s="1286"/>
      <c r="K186" s="1286"/>
      <c r="L186" s="1286"/>
      <c r="M186" s="1287"/>
    </row>
    <row r="187" spans="1:32" ht="15" customHeight="1" x14ac:dyDescent="0.15">
      <c r="A187" s="26"/>
      <c r="B187" s="1276" t="s">
        <v>277</v>
      </c>
      <c r="C187" s="1277"/>
      <c r="D187" s="1277"/>
      <c r="E187" s="1277"/>
      <c r="F187" s="1277"/>
      <c r="G187" s="1277"/>
      <c r="H187" s="1277"/>
      <c r="I187" s="1277"/>
      <c r="J187" s="1277"/>
      <c r="K187" s="1277"/>
      <c r="L187" s="1277"/>
      <c r="M187" s="1278"/>
    </row>
    <row r="188" spans="1:32" ht="13" x14ac:dyDescent="0.15">
      <c r="A188" s="26"/>
      <c r="B188" s="1279"/>
      <c r="C188" s="1280"/>
      <c r="D188" s="1280"/>
      <c r="E188" s="1280"/>
      <c r="F188" s="1280"/>
      <c r="G188" s="1280"/>
      <c r="H188" s="1280"/>
      <c r="I188" s="1280"/>
      <c r="J188" s="1280"/>
      <c r="K188" s="1280"/>
      <c r="L188" s="1280"/>
      <c r="M188" s="1281"/>
    </row>
    <row r="189" spans="1:32" thickBot="1" x14ac:dyDescent="0.2">
      <c r="A189" s="26"/>
      <c r="B189" s="1279"/>
      <c r="C189" s="1280"/>
      <c r="D189" s="1280"/>
      <c r="E189" s="1280"/>
      <c r="F189" s="1280"/>
      <c r="G189" s="1280"/>
      <c r="H189" s="1280"/>
      <c r="I189" s="1280"/>
      <c r="J189" s="1280"/>
      <c r="K189" s="1280"/>
      <c r="L189" s="1280"/>
      <c r="M189" s="1281"/>
    </row>
    <row r="190" spans="1:32" ht="16.5" customHeight="1" x14ac:dyDescent="0.15">
      <c r="A190" s="26"/>
      <c r="B190" s="1279"/>
      <c r="C190" s="1280"/>
      <c r="D190" s="1280"/>
      <c r="E190" s="1280"/>
      <c r="F190" s="1280"/>
      <c r="G190" s="1280"/>
      <c r="H190" s="1280"/>
      <c r="I190" s="1280"/>
      <c r="J190" s="1280"/>
      <c r="K190" s="1280"/>
      <c r="L190" s="1280"/>
      <c r="M190" s="1281"/>
      <c r="Z190" s="1225" t="s">
        <v>278</v>
      </c>
      <c r="AA190" s="348"/>
      <c r="AB190" s="348"/>
      <c r="AC190" s="348"/>
      <c r="AD190" s="348"/>
      <c r="AE190" s="348"/>
      <c r="AF190" s="349"/>
    </row>
    <row r="191" spans="1:32" ht="16.5" customHeight="1" thickBot="1" x14ac:dyDescent="0.2">
      <c r="A191" s="26"/>
      <c r="B191" s="1279"/>
      <c r="C191" s="1280"/>
      <c r="D191" s="1280"/>
      <c r="E191" s="1280"/>
      <c r="F191" s="1280"/>
      <c r="G191" s="1280"/>
      <c r="H191" s="1280"/>
      <c r="I191" s="1280"/>
      <c r="J191" s="1280"/>
      <c r="K191" s="1280"/>
      <c r="L191" s="1280"/>
      <c r="M191" s="1281"/>
      <c r="Z191" s="357"/>
      <c r="AF191" s="590"/>
    </row>
    <row r="192" spans="1:32" ht="16.5" customHeight="1" x14ac:dyDescent="0.2">
      <c r="A192" s="26"/>
      <c r="B192" s="1279"/>
      <c r="C192" s="1280"/>
      <c r="D192" s="1280"/>
      <c r="E192" s="1280"/>
      <c r="F192" s="1280"/>
      <c r="G192" s="1280"/>
      <c r="H192" s="1280"/>
      <c r="I192" s="1280"/>
      <c r="J192" s="1280"/>
      <c r="K192" s="1280"/>
      <c r="L192" s="1280"/>
      <c r="M192" s="1281"/>
      <c r="O192" s="46"/>
      <c r="Z192" s="347" t="s">
        <v>279</v>
      </c>
      <c r="AA192" s="211"/>
      <c r="AB192" s="348"/>
      <c r="AC192" s="211"/>
      <c r="AD192" s="211"/>
      <c r="AE192" s="211" t="s">
        <v>280</v>
      </c>
      <c r="AF192" s="349"/>
    </row>
    <row r="193" spans="1:32" ht="16.5" customHeight="1" thickBot="1" x14ac:dyDescent="0.25">
      <c r="A193" s="26"/>
      <c r="B193" s="1282"/>
      <c r="C193" s="1283"/>
      <c r="D193" s="1283"/>
      <c r="E193" s="1283"/>
      <c r="F193" s="1283"/>
      <c r="G193" s="1283"/>
      <c r="H193" s="1283"/>
      <c r="I193" s="1283"/>
      <c r="J193" s="1283"/>
      <c r="K193" s="1283"/>
      <c r="L193" s="1283"/>
      <c r="M193" s="1284"/>
      <c r="O193" s="46"/>
      <c r="Z193" s="1007" t="s">
        <v>281</v>
      </c>
      <c r="AA193" s="203" t="s">
        <v>282</v>
      </c>
      <c r="AB193" s="203" t="s">
        <v>283</v>
      </c>
      <c r="AC193" s="203" t="s">
        <v>284</v>
      </c>
      <c r="AD193" s="203" t="s">
        <v>285</v>
      </c>
      <c r="AE193" s="203" t="s">
        <v>286</v>
      </c>
      <c r="AF193" s="1008" t="s">
        <v>287</v>
      </c>
    </row>
    <row r="194" spans="1:32" ht="18.75" customHeight="1" thickBot="1" x14ac:dyDescent="0.25">
      <c r="A194" s="26"/>
      <c r="B194" s="934" t="s">
        <v>284</v>
      </c>
      <c r="C194" s="935" t="s">
        <v>281</v>
      </c>
      <c r="D194" s="935" t="s">
        <v>288</v>
      </c>
      <c r="E194" s="935" t="s">
        <v>289</v>
      </c>
      <c r="F194" s="936" t="s">
        <v>285</v>
      </c>
      <c r="G194" s="1273" t="s">
        <v>290</v>
      </c>
      <c r="H194" s="1274"/>
      <c r="I194" s="1274"/>
      <c r="J194" s="1274"/>
      <c r="K194" s="1274"/>
      <c r="L194" s="1274"/>
      <c r="M194" s="1275"/>
      <c r="Z194" s="1004" t="s">
        <v>17</v>
      </c>
      <c r="AA194" s="1005">
        <f t="array" aca="1" ref="AA194" ca="1">SUM(IF(INDIRECT(Z194&amp;"!" &amp; AB194 &amp;  ":" &amp; AB194) = $AE$192, 1, 0))</f>
        <v>4</v>
      </c>
      <c r="AB194" s="1005" t="s">
        <v>291</v>
      </c>
      <c r="AC194" s="1005" t="s">
        <v>292</v>
      </c>
      <c r="AD194" s="1005" t="s">
        <v>293</v>
      </c>
      <c r="AE194" s="1005">
        <f ca="1">AA194</f>
        <v>4</v>
      </c>
      <c r="AF194" s="1006">
        <v>1</v>
      </c>
    </row>
    <row r="195" spans="1:32" ht="18.75" customHeight="1" x14ac:dyDescent="0.2">
      <c r="A195" s="26"/>
      <c r="B195" s="937" t="s">
        <v>294</v>
      </c>
      <c r="C195" s="938" t="s">
        <v>17</v>
      </c>
      <c r="D195" s="939">
        <v>1</v>
      </c>
      <c r="E195" s="940"/>
      <c r="F195" s="941"/>
      <c r="G195" s="942">
        <v>1</v>
      </c>
      <c r="H195" s="943">
        <v>2</v>
      </c>
      <c r="I195" s="943">
        <v>3</v>
      </c>
      <c r="J195" s="943">
        <v>4</v>
      </c>
      <c r="K195" s="943">
        <v>5</v>
      </c>
      <c r="L195" s="943">
        <v>6</v>
      </c>
      <c r="M195" s="944">
        <v>7</v>
      </c>
      <c r="Z195" s="352" t="str">
        <f>"'Battery Design'"</f>
        <v>'Battery Design'</v>
      </c>
      <c r="AA195" s="351">
        <f t="array" aca="1" ref="AA195" ca="1">SUM(IF(INDIRECT(Z195&amp;"!" &amp; AB195 &amp;  ":" &amp; AB195) = $AE$192, 1, 0))</f>
        <v>1</v>
      </c>
      <c r="AB195" s="351" t="s">
        <v>291</v>
      </c>
      <c r="AC195" s="351" t="s">
        <v>292</v>
      </c>
      <c r="AD195" s="351" t="s">
        <v>295</v>
      </c>
      <c r="AE195" s="351">
        <f t="shared" ref="AE195:AE200" ca="1" si="40">AE194+ AA195 + IF(AA195=0, 1, 0)</f>
        <v>5</v>
      </c>
      <c r="AF195" s="350">
        <v>7</v>
      </c>
    </row>
    <row r="196" spans="1:32" ht="15" customHeight="1" x14ac:dyDescent="0.2">
      <c r="A196" s="26"/>
      <c r="B196" s="945" t="str">
        <f t="shared" ref="B196:B227" ca="1" si="41">IFERROR(IF(BB202= "", IF(ISBLANK(INDIRECT(C196 &amp;"!$" &amp;INDEX($AC$194:$AC$217, MATCH(C196, $Z$194:$Z$204, 0))&amp;  D196)), "", INDIRECT(C196 &amp;"!$" &amp;INDEX($AC$194:$AC$217, MATCH(C196, $Z$194:$Z$204, 0))&amp;  D196)), INDIRECT(C196 &amp;"!$" &amp;DD202&amp;  D196)), "")</f>
        <v>Couple Name</v>
      </c>
      <c r="C196" s="946" t="str">
        <f ca="1">IF(ROW(E196) - ROW(B195)&gt; INDEX($AE$194:$AE$219, MATCH(C195, $Z$194:$Z$204, 0)), INDEX($Z$194:$Z$204, MATCH(C195, $Z$194:$Z$204, 0) + 1), C195)</f>
        <v>Chem</v>
      </c>
      <c r="D196" s="946">
        <f t="shared" ref="D196:D227" ca="1" si="42">IFERROR(MATCH("x",INDIRECT(C196&amp;"!$"&amp;INDEX($AB$194:$AB$217,MATCH(C196,$Z$194:$Z$204,0))&amp;IF(NOT(C196=C195),1,D195+1)&amp;":$"&amp;INDEX($AB$194:$AB$217,MATCH(C196,$Z$194:$Z$204,0))&amp;"20000"),0)+IF(NOT(C196=C195),0,D195), "")</f>
        <v>5</v>
      </c>
      <c r="E196" s="946">
        <f t="shared" ref="E196:E227" ca="1" si="43">IFERROR(INDEX( $AF$194:$AF$209,MATCH(C196, $Z$194:$Z$208, 0)), "")</f>
        <v>1</v>
      </c>
      <c r="F196" s="947" t="str">
        <f t="shared" ref="F196:F227" ca="1" si="44">IFERROR(IF(NOT(E196 = 1), "",  IF(ISBLANK(INDIRECT(C196 &amp;"!$" &amp;INDEX($AD$194:$AD$217, MATCH(C196, $Z$194:$Z$204, 0))&amp;  D196)), "",INDIRECT(C196 &amp;"!$" &amp;INDEX($AD$194:$AD$217, MATCH(C196, $Z$194:$Z$204, 0))&amp;  D196))),  "")</f>
        <v>Li(Ni0.5Mn0.3Co0.2)O2 / Graphite</v>
      </c>
      <c r="G196" s="947" t="str">
        <f t="shared" ref="G196:M205" ca="1" si="45">IFERROR(IF(NOT($E196 = 7), "",INDIRECT($C196 &amp;"!" &amp;ADDRESS($D196,  COLUMN(INDIRECT(INDEX($AD$194:$AD$217, MATCH($C196, $Z$194:$Z$204, 0)) &amp; $D196)) +  G$195 - 1))), "")</f>
        <v/>
      </c>
      <c r="H196" s="947" t="str">
        <f t="shared" ca="1" si="45"/>
        <v/>
      </c>
      <c r="I196" s="947" t="str">
        <f t="shared" ca="1" si="45"/>
        <v/>
      </c>
      <c r="J196" s="947" t="str">
        <f t="shared" ca="1" si="45"/>
        <v/>
      </c>
      <c r="K196" s="947" t="str">
        <f t="shared" ca="1" si="45"/>
        <v/>
      </c>
      <c r="L196" s="947" t="str">
        <f t="shared" ca="1" si="45"/>
        <v/>
      </c>
      <c r="M196" s="947" t="str">
        <f t="shared" ca="1" si="45"/>
        <v/>
      </c>
      <c r="Z196" s="352" t="s">
        <v>25</v>
      </c>
      <c r="AA196" s="351">
        <f t="array" aca="1" ref="AA196" ca="1">SUM(IF(INDIRECT(Z196&amp;"!" &amp; AB196 &amp;  ":" &amp; AB196) = $AE$192, 1, 0))</f>
        <v>3</v>
      </c>
      <c r="AB196" s="351" t="s">
        <v>291</v>
      </c>
      <c r="AC196" s="351" t="s">
        <v>292</v>
      </c>
      <c r="AD196" s="351" t="s">
        <v>295</v>
      </c>
      <c r="AE196" s="351">
        <f t="shared" ca="1" si="40"/>
        <v>8</v>
      </c>
      <c r="AF196" s="350">
        <v>7</v>
      </c>
    </row>
    <row r="197" spans="1:32" ht="15" customHeight="1" x14ac:dyDescent="0.2">
      <c r="A197" s="26"/>
      <c r="B197" s="945" t="str">
        <f t="shared" ca="1" si="41"/>
        <v>Positive electrode active material weight %</v>
      </c>
      <c r="C197" s="946" t="str">
        <f t="shared" ref="C197:C228" ca="1" si="46">IFERROR(IF(ROW(E197) - ROW($E$196) &gt; INDEX($AE$194:$AE$219, MATCH(C196, $Z$194:$Z$204, 0)), INDEX($Z$194:$Z$204, MATCH(C196, $Z$194:$Z$204, 0) + 1), C196), "")</f>
        <v>Chem</v>
      </c>
      <c r="D197" s="946">
        <f t="shared" ca="1" si="42"/>
        <v>11</v>
      </c>
      <c r="E197" s="946">
        <f t="shared" ca="1" si="43"/>
        <v>1</v>
      </c>
      <c r="F197" s="947">
        <f t="shared" ca="1" si="44"/>
        <v>94</v>
      </c>
      <c r="G197" s="947" t="str">
        <f t="shared" ca="1" si="45"/>
        <v/>
      </c>
      <c r="H197" s="947" t="str">
        <f t="shared" ca="1" si="45"/>
        <v/>
      </c>
      <c r="I197" s="947" t="str">
        <f t="shared" ca="1" si="45"/>
        <v/>
      </c>
      <c r="J197" s="947" t="str">
        <f t="shared" ca="1" si="45"/>
        <v/>
      </c>
      <c r="K197" s="947" t="str">
        <f t="shared" ca="1" si="45"/>
        <v/>
      </c>
      <c r="L197" s="947" t="str">
        <f t="shared" ca="1" si="45"/>
        <v/>
      </c>
      <c r="M197" s="947" t="str">
        <f t="shared" ca="1" si="45"/>
        <v/>
      </c>
      <c r="Z197" s="352" t="s">
        <v>26</v>
      </c>
      <c r="AA197" s="351">
        <f t="array" aca="1" ref="AA197" ca="1">SUM(IF(INDIRECT(Z197&amp;"!" &amp; AB197 &amp;  ":" &amp; AB197) = $AE$192, 1, 0))</f>
        <v>1</v>
      </c>
      <c r="AB197" s="351" t="s">
        <v>291</v>
      </c>
      <c r="AC197" s="351" t="s">
        <v>292</v>
      </c>
      <c r="AD197" s="351" t="s">
        <v>296</v>
      </c>
      <c r="AE197" s="351">
        <f t="shared" ca="1" si="40"/>
        <v>9</v>
      </c>
      <c r="AF197" s="350">
        <v>7</v>
      </c>
    </row>
    <row r="198" spans="1:32" ht="15" customHeight="1" x14ac:dyDescent="0.2">
      <c r="A198" s="26"/>
      <c r="B198" s="945" t="str">
        <f t="shared" ca="1" si="41"/>
        <v>Positive foil material</v>
      </c>
      <c r="C198" s="946" t="str">
        <f t="shared" ca="1" si="46"/>
        <v>Chem</v>
      </c>
      <c r="D198" s="946">
        <f t="shared" ca="1" si="42"/>
        <v>31</v>
      </c>
      <c r="E198" s="946">
        <f t="shared" ca="1" si="43"/>
        <v>1</v>
      </c>
      <c r="F198" s="947" t="str">
        <f t="shared" ca="1" si="44"/>
        <v>Aluminum</v>
      </c>
      <c r="G198" s="947" t="str">
        <f t="shared" ca="1" si="45"/>
        <v/>
      </c>
      <c r="H198" s="947" t="str">
        <f t="shared" ca="1" si="45"/>
        <v/>
      </c>
      <c r="I198" s="947" t="str">
        <f t="shared" ca="1" si="45"/>
        <v/>
      </c>
      <c r="J198" s="947" t="str">
        <f t="shared" ca="1" si="45"/>
        <v/>
      </c>
      <c r="K198" s="947" t="str">
        <f t="shared" ca="1" si="45"/>
        <v/>
      </c>
      <c r="L198" s="947" t="str">
        <f t="shared" ca="1" si="45"/>
        <v/>
      </c>
      <c r="M198" s="947" t="str">
        <f t="shared" ca="1" si="45"/>
        <v/>
      </c>
      <c r="Z198" s="352" t="str">
        <f>"'Manufacturing Costs'"</f>
        <v>'Manufacturing Costs'</v>
      </c>
      <c r="AA198" s="351">
        <f t="array" aca="1" ref="AA198" ca="1">SUM(IF(INDIRECT(Z198&amp;"!" &amp; AB198 &amp;  ":" &amp; AB198) = $AE$192, 1, 0))</f>
        <v>3</v>
      </c>
      <c r="AB198" s="351" t="s">
        <v>291</v>
      </c>
      <c r="AC198" s="351" t="s">
        <v>292</v>
      </c>
      <c r="AD198" s="351" t="s">
        <v>295</v>
      </c>
      <c r="AE198" s="351">
        <f t="shared" ca="1" si="40"/>
        <v>12</v>
      </c>
      <c r="AF198" s="350">
        <v>7</v>
      </c>
    </row>
    <row r="199" spans="1:32" ht="15" customHeight="1" x14ac:dyDescent="0.2">
      <c r="A199" s="26"/>
      <c r="B199" s="945" t="str">
        <f t="shared" ca="1" si="41"/>
        <v>Positive foil thickness, µm</v>
      </c>
      <c r="C199" s="946" t="str">
        <f t="shared" ca="1" si="46"/>
        <v>Chem</v>
      </c>
      <c r="D199" s="946">
        <f t="shared" ca="1" si="42"/>
        <v>32</v>
      </c>
      <c r="E199" s="946">
        <f t="shared" ca="1" si="43"/>
        <v>1</v>
      </c>
      <c r="F199" s="947">
        <f t="shared" ca="1" si="44"/>
        <v>20</v>
      </c>
      <c r="G199" s="947" t="str">
        <f t="shared" ca="1" si="45"/>
        <v/>
      </c>
      <c r="H199" s="947" t="str">
        <f t="shared" ca="1" si="45"/>
        <v/>
      </c>
      <c r="I199" s="947" t="str">
        <f t="shared" ca="1" si="45"/>
        <v/>
      </c>
      <c r="J199" s="947" t="str">
        <f t="shared" ca="1" si="45"/>
        <v/>
      </c>
      <c r="K199" s="947" t="str">
        <f t="shared" ca="1" si="45"/>
        <v/>
      </c>
      <c r="L199" s="947" t="str">
        <f t="shared" ca="1" si="45"/>
        <v/>
      </c>
      <c r="M199" s="947" t="str">
        <f t="shared" ca="1" si="45"/>
        <v/>
      </c>
      <c r="Z199" s="355" t="str">
        <f>"'Cost Breakdown'"</f>
        <v>'Cost Breakdown'</v>
      </c>
      <c r="AA199" s="351">
        <f t="array" aca="1" ref="AA199" ca="1">SUM(IF(INDIRECT(Z199&amp;"!" &amp; AB199 &amp;  ":" &amp; AB199) = $AE$192, 1, 0))</f>
        <v>2</v>
      </c>
      <c r="AB199" s="351" t="s">
        <v>291</v>
      </c>
      <c r="AC199" s="351" t="s">
        <v>292</v>
      </c>
      <c r="AD199" s="351" t="s">
        <v>295</v>
      </c>
      <c r="AE199" s="351">
        <f t="shared" ca="1" si="40"/>
        <v>14</v>
      </c>
      <c r="AF199" s="350">
        <v>7</v>
      </c>
    </row>
    <row r="200" spans="1:32" ht="15" customHeight="1" x14ac:dyDescent="0.15">
      <c r="A200" s="26"/>
      <c r="B200" s="945" t="str">
        <f ca="1">IFERROR(IF(BB206= "", IF(ISBLANK(INDIRECT(C200 &amp;"!$" &amp;INDEX($AC$194:$AC$217, MATCH(C200, $Z$194:$Z$204, 0))&amp;  D200)), "", INDIRECT(C200 &amp;"!$" &amp;INDEX($AC$194:$AC$217, MATCH(C200, $Z$194:$Z$204, 0))&amp;  D200)), INDIRECT(C200 &amp;"!$" &amp;DD206&amp;  D200)), "")</f>
        <v/>
      </c>
      <c r="C200" s="946" t="str">
        <f t="shared" ca="1" si="46"/>
        <v>Chem</v>
      </c>
      <c r="D200" s="946" t="str">
        <f t="shared" ca="1" si="42"/>
        <v/>
      </c>
      <c r="E200" s="946">
        <f t="shared" ca="1" si="43"/>
        <v>1</v>
      </c>
      <c r="F200" s="947" t="str">
        <f t="shared" ca="1" si="44"/>
        <v/>
      </c>
      <c r="G200" s="947" t="str">
        <f t="shared" ca="1" si="45"/>
        <v/>
      </c>
      <c r="H200" s="947" t="str">
        <f t="shared" ca="1" si="45"/>
        <v/>
      </c>
      <c r="I200" s="947" t="str">
        <f t="shared" ca="1" si="45"/>
        <v/>
      </c>
      <c r="J200" s="947" t="str">
        <f t="shared" ca="1" si="45"/>
        <v/>
      </c>
      <c r="K200" s="947" t="str">
        <f t="shared" ca="1" si="45"/>
        <v/>
      </c>
      <c r="L200" s="947" t="str">
        <f t="shared" ca="1" si="45"/>
        <v/>
      </c>
      <c r="M200" s="947" t="str">
        <f t="shared" ca="1" si="45"/>
        <v/>
      </c>
      <c r="Z200" s="357" t="s">
        <v>21</v>
      </c>
      <c r="AA200" s="351">
        <f t="array" aca="1" ref="AA200" ca="1">SUM(IF(INDIRECT(Z200&amp;"!" &amp; AB200 &amp;  ":" &amp; AB200) = $AE$192, 1, 0))</f>
        <v>2</v>
      </c>
      <c r="AB200" s="353" t="s">
        <v>291</v>
      </c>
      <c r="AC200" s="353" t="s">
        <v>292</v>
      </c>
      <c r="AD200" s="353" t="s">
        <v>295</v>
      </c>
      <c r="AE200" s="353">
        <f t="shared" ca="1" si="40"/>
        <v>16</v>
      </c>
      <c r="AF200" s="356">
        <v>7</v>
      </c>
    </row>
    <row r="201" spans="1:32" ht="15" customHeight="1" x14ac:dyDescent="0.15">
      <c r="A201" s="26"/>
      <c r="B201" s="945" t="str">
        <f t="shared" ca="1" si="41"/>
        <v>ASI of positive current collector, ohm-cm²</v>
      </c>
      <c r="C201" s="946" t="str">
        <f t="shared" ca="1" si="46"/>
        <v>'Battery Design'</v>
      </c>
      <c r="D201" s="946">
        <f t="shared" ca="1" si="42"/>
        <v>231</v>
      </c>
      <c r="E201" s="946">
        <f t="shared" ca="1" si="43"/>
        <v>7</v>
      </c>
      <c r="F201" s="947" t="str">
        <f t="shared" ca="1" si="44"/>
        <v/>
      </c>
      <c r="G201" s="947">
        <f t="shared" ca="1" si="45"/>
        <v>0.60016720329086126</v>
      </c>
      <c r="H201" s="947">
        <f t="shared" ca="1" si="45"/>
        <v>0.60016720329086126</v>
      </c>
      <c r="I201" s="947">
        <f t="shared" ca="1" si="45"/>
        <v>0.60016720329086126</v>
      </c>
      <c r="J201" s="947">
        <f t="shared" ca="1" si="45"/>
        <v>0.60016720329086126</v>
      </c>
      <c r="K201" s="947">
        <f t="shared" ca="1" si="45"/>
        <v>0.60016720329086126</v>
      </c>
      <c r="L201" s="947">
        <f t="shared" ca="1" si="45"/>
        <v>0.60016720329086126</v>
      </c>
      <c r="M201" s="947">
        <f t="shared" ca="1" si="45"/>
        <v>0.60016720329086126</v>
      </c>
      <c r="Z201" s="357"/>
      <c r="AA201" s="353"/>
      <c r="AB201" s="353"/>
      <c r="AC201" s="353"/>
      <c r="AD201" s="353"/>
      <c r="AE201" s="353"/>
      <c r="AF201" s="356"/>
    </row>
    <row r="202" spans="1:32" ht="15" customHeight="1" thickBot="1" x14ac:dyDescent="0.2">
      <c r="A202" s="26"/>
      <c r="B202" s="945" t="str">
        <f t="shared" ca="1" si="41"/>
        <v>Total Cost of BMS, $</v>
      </c>
      <c r="C202" s="946" t="str">
        <f t="shared" ca="1" si="46"/>
        <v>BMS</v>
      </c>
      <c r="D202" s="946">
        <f t="shared" ca="1" si="42"/>
        <v>133</v>
      </c>
      <c r="E202" s="946">
        <f t="shared" ca="1" si="43"/>
        <v>7</v>
      </c>
      <c r="F202" s="947" t="str">
        <f t="shared" ca="1" si="44"/>
        <v/>
      </c>
      <c r="G202" s="947">
        <f t="shared" ca="1" si="45"/>
        <v>354.3728995446063</v>
      </c>
      <c r="H202" s="947">
        <f t="shared" ca="1" si="45"/>
        <v>354.3728995446063</v>
      </c>
      <c r="I202" s="947">
        <f t="shared" ca="1" si="45"/>
        <v>354.3728995446063</v>
      </c>
      <c r="J202" s="947">
        <f t="shared" ca="1" si="45"/>
        <v>354.3728995446063</v>
      </c>
      <c r="K202" s="947">
        <f t="shared" ca="1" si="45"/>
        <v>354.3728995446063</v>
      </c>
      <c r="L202" s="947">
        <f t="shared" ca="1" si="45"/>
        <v>354.3728995446063</v>
      </c>
      <c r="M202" s="947">
        <f t="shared" ca="1" si="45"/>
        <v>354.3728995446063</v>
      </c>
      <c r="Z202" s="358"/>
      <c r="AA202" s="359"/>
      <c r="AB202" s="359"/>
      <c r="AC202" s="359"/>
      <c r="AD202" s="359"/>
      <c r="AE202" s="359"/>
      <c r="AF202" s="360"/>
    </row>
    <row r="203" spans="1:32" ht="15" customHeight="1" thickBot="1" x14ac:dyDescent="0.2">
      <c r="A203" s="26"/>
      <c r="B203" s="945" t="str">
        <f t="shared" ca="1" si="41"/>
        <v>Total Mass of BMS, kg</v>
      </c>
      <c r="C203" s="946" t="str">
        <f t="shared" ca="1" si="46"/>
        <v>BMS</v>
      </c>
      <c r="D203" s="946">
        <f t="shared" ca="1" si="42"/>
        <v>142</v>
      </c>
      <c r="E203" s="946">
        <f t="shared" ca="1" si="43"/>
        <v>7</v>
      </c>
      <c r="F203" s="947" t="str">
        <f t="shared" ca="1" si="44"/>
        <v/>
      </c>
      <c r="G203" s="947">
        <f t="shared" ca="1" si="45"/>
        <v>3.5776000000000003</v>
      </c>
      <c r="H203" s="947">
        <f t="shared" ca="1" si="45"/>
        <v>3.5776000000000003</v>
      </c>
      <c r="I203" s="947">
        <f t="shared" ca="1" si="45"/>
        <v>3.5776000000000003</v>
      </c>
      <c r="J203" s="947">
        <f t="shared" ca="1" si="45"/>
        <v>3.5776000000000003</v>
      </c>
      <c r="K203" s="947">
        <f t="shared" ca="1" si="45"/>
        <v>3.5776000000000003</v>
      </c>
      <c r="L203" s="947">
        <f t="shared" ca="1" si="45"/>
        <v>3.5776000000000003</v>
      </c>
      <c r="M203" s="947">
        <f t="shared" ca="1" si="45"/>
        <v>3.5776000000000003</v>
      </c>
      <c r="Z203" s="536"/>
      <c r="AA203" s="491"/>
      <c r="AB203" s="491"/>
      <c r="AC203" s="491"/>
      <c r="AD203" s="491"/>
      <c r="AE203" s="491"/>
      <c r="AF203" s="900"/>
    </row>
    <row r="204" spans="1:32" ht="15" customHeight="1" x14ac:dyDescent="0.15">
      <c r="A204" s="26"/>
      <c r="B204" s="945" t="str">
        <f t="shared" ca="1" si="41"/>
        <v>Total Volume of BMS, L</v>
      </c>
      <c r="C204" s="946" t="str">
        <f t="shared" ca="1" si="46"/>
        <v>BMS</v>
      </c>
      <c r="D204" s="946">
        <f t="shared" ca="1" si="42"/>
        <v>151</v>
      </c>
      <c r="E204" s="946">
        <f t="shared" ca="1" si="43"/>
        <v>7</v>
      </c>
      <c r="F204" s="947" t="str">
        <f t="shared" ca="1" si="44"/>
        <v/>
      </c>
      <c r="G204" s="947">
        <f t="shared" ca="1" si="45"/>
        <v>3.6146500000000001</v>
      </c>
      <c r="H204" s="947">
        <f t="shared" ca="1" si="45"/>
        <v>3.6146500000000001</v>
      </c>
      <c r="I204" s="947">
        <f t="shared" ca="1" si="45"/>
        <v>3.6146500000000001</v>
      </c>
      <c r="J204" s="947">
        <f t="shared" ca="1" si="45"/>
        <v>3.6146500000000001</v>
      </c>
      <c r="K204" s="947">
        <f t="shared" ca="1" si="45"/>
        <v>3.6146500000000001</v>
      </c>
      <c r="L204" s="947">
        <f t="shared" ca="1" si="45"/>
        <v>3.6146500000000001</v>
      </c>
      <c r="M204" s="947">
        <f t="shared" ca="1" si="45"/>
        <v>3.6146500000000001</v>
      </c>
    </row>
    <row r="205" spans="1:32" ht="15" customHeight="1" x14ac:dyDescent="0.15">
      <c r="A205" s="26"/>
      <c r="B205" s="945" t="str">
        <f t="shared" ca="1" si="41"/>
        <v>Efficiency for sustained discharge (adiabatic), %</v>
      </c>
      <c r="C205" s="946" t="str">
        <f t="shared" ca="1" si="46"/>
        <v>Thermal</v>
      </c>
      <c r="D205" s="946">
        <f t="shared" ca="1" si="42"/>
        <v>41</v>
      </c>
      <c r="E205" s="946">
        <f t="shared" ca="1" si="43"/>
        <v>7</v>
      </c>
      <c r="F205" s="947" t="str">
        <f t="shared" ca="1" si="44"/>
        <v/>
      </c>
      <c r="G205" s="947">
        <f t="shared" ca="1" si="45"/>
        <v>0</v>
      </c>
      <c r="H205" s="947">
        <f t="shared" ca="1" si="45"/>
        <v>0</v>
      </c>
      <c r="I205" s="947">
        <f t="shared" ca="1" si="45"/>
        <v>0</v>
      </c>
      <c r="J205" s="947">
        <f t="shared" ca="1" si="45"/>
        <v>0</v>
      </c>
      <c r="K205" s="947">
        <f t="shared" ca="1" si="45"/>
        <v>0</v>
      </c>
      <c r="L205" s="947">
        <f t="shared" ca="1" si="45"/>
        <v>0</v>
      </c>
      <c r="M205" s="947">
        <f t="shared" ca="1" si="45"/>
        <v>0</v>
      </c>
    </row>
    <row r="206" spans="1:32" ht="15" customHeight="1" x14ac:dyDescent="0.15">
      <c r="A206" s="26"/>
      <c r="B206" s="945" t="str">
        <f t="shared" ca="1" si="41"/>
        <v>Direct labor, hours/year</v>
      </c>
      <c r="C206" s="946" t="str">
        <f t="shared" ca="1" si="46"/>
        <v>'Manufacturing Costs'</v>
      </c>
      <c r="D206" s="946">
        <f t="shared" ca="1" si="42"/>
        <v>466</v>
      </c>
      <c r="E206" s="946">
        <f t="shared" ca="1" si="43"/>
        <v>7</v>
      </c>
      <c r="F206" s="947" t="str">
        <f t="shared" ca="1" si="44"/>
        <v/>
      </c>
      <c r="G206" s="947">
        <f t="shared" ref="G206:M215" ca="1" si="47">IFERROR(IF(NOT($E206 = 7), "",INDIRECT($C206 &amp;"!" &amp;ADDRESS($D206,  COLUMN(INDIRECT(INDEX($AD$194:$AD$217, MATCH($C206, $Z$194:$Z$204, 0)) &amp; $D206)) +  G$195 - 1))), "")</f>
        <v>3642822.9455742543</v>
      </c>
      <c r="H206" s="947">
        <f t="shared" ca="1" si="47"/>
        <v>3642822.9455742543</v>
      </c>
      <c r="I206" s="947">
        <f t="shared" ca="1" si="47"/>
        <v>3642822.9455742543</v>
      </c>
      <c r="J206" s="947">
        <f t="shared" ca="1" si="47"/>
        <v>3642822.9455742543</v>
      </c>
      <c r="K206" s="947">
        <f t="shared" ca="1" si="47"/>
        <v>3642822.9455742543</v>
      </c>
      <c r="L206" s="947">
        <f t="shared" ca="1" si="47"/>
        <v>3642822.9455742543</v>
      </c>
      <c r="M206" s="947">
        <f t="shared" ca="1" si="47"/>
        <v>3642822.9455742543</v>
      </c>
    </row>
    <row r="207" spans="1:32" ht="15" customHeight="1" x14ac:dyDescent="0.15">
      <c r="A207" s="26"/>
      <c r="B207" s="945" t="str">
        <f t="shared" ca="1" si="41"/>
        <v>Capital equipment, million$</v>
      </c>
      <c r="C207" s="946" t="str">
        <f t="shared" ca="1" si="46"/>
        <v>'Manufacturing Costs'</v>
      </c>
      <c r="D207" s="946">
        <f t="shared" ca="1" si="42"/>
        <v>467</v>
      </c>
      <c r="E207" s="946">
        <f t="shared" ca="1" si="43"/>
        <v>7</v>
      </c>
      <c r="F207" s="947" t="str">
        <f t="shared" ca="1" si="44"/>
        <v/>
      </c>
      <c r="G207" s="947">
        <f t="shared" ca="1" si="47"/>
        <v>3619.9703220120377</v>
      </c>
      <c r="H207" s="947">
        <f t="shared" ca="1" si="47"/>
        <v>3619.9703220120377</v>
      </c>
      <c r="I207" s="947">
        <f t="shared" ca="1" si="47"/>
        <v>3619.9703220120377</v>
      </c>
      <c r="J207" s="947">
        <f t="shared" ca="1" si="47"/>
        <v>3619.9703220120377</v>
      </c>
      <c r="K207" s="947">
        <f t="shared" ca="1" si="47"/>
        <v>3619.9703220120377</v>
      </c>
      <c r="L207" s="947">
        <f t="shared" ca="1" si="47"/>
        <v>3619.9703220120377</v>
      </c>
      <c r="M207" s="947">
        <f t="shared" ca="1" si="47"/>
        <v>3619.9703220120377</v>
      </c>
    </row>
    <row r="208" spans="1:32" ht="15" customHeight="1" x14ac:dyDescent="0.15">
      <c r="A208" s="26"/>
      <c r="B208" s="945" t="str">
        <f t="shared" ca="1" si="41"/>
        <v>Plant area, m²</v>
      </c>
      <c r="C208" s="946" t="str">
        <f t="shared" ca="1" si="46"/>
        <v>'Manufacturing Costs'</v>
      </c>
      <c r="D208" s="946">
        <f t="shared" ca="1" si="42"/>
        <v>468</v>
      </c>
      <c r="E208" s="946">
        <f t="shared" ca="1" si="43"/>
        <v>7</v>
      </c>
      <c r="F208" s="947" t="str">
        <f t="shared" ca="1" si="44"/>
        <v/>
      </c>
      <c r="G208" s="947">
        <f t="shared" ca="1" si="47"/>
        <v>282060.99163766351</v>
      </c>
      <c r="H208" s="947">
        <f t="shared" ca="1" si="47"/>
        <v>282060.99163766351</v>
      </c>
      <c r="I208" s="947">
        <f t="shared" ca="1" si="47"/>
        <v>282060.99163766351</v>
      </c>
      <c r="J208" s="947">
        <f t="shared" ca="1" si="47"/>
        <v>282060.99163766351</v>
      </c>
      <c r="K208" s="947">
        <f t="shared" ca="1" si="47"/>
        <v>282060.99163766351</v>
      </c>
      <c r="L208" s="947">
        <f t="shared" ca="1" si="47"/>
        <v>282060.99163766351</v>
      </c>
      <c r="M208" s="947">
        <f t="shared" ca="1" si="47"/>
        <v>282060.99163766351</v>
      </c>
      <c r="AB208" s="353"/>
      <c r="AC208" s="353"/>
      <c r="AD208" s="353"/>
      <c r="AE208" s="353"/>
    </row>
    <row r="209" spans="1:31" ht="15" customHeight="1" x14ac:dyDescent="0.15">
      <c r="A209" s="26"/>
      <c r="B209" s="945" t="str">
        <f t="shared" ca="1" si="41"/>
        <v>Cost of materials</v>
      </c>
      <c r="C209" s="946" t="str">
        <f t="shared" ca="1" si="46"/>
        <v>'Cost Breakdown'</v>
      </c>
      <c r="D209" s="946">
        <f t="shared" ca="1" si="42"/>
        <v>118</v>
      </c>
      <c r="E209" s="946">
        <f t="shared" ca="1" si="43"/>
        <v>7</v>
      </c>
      <c r="F209" s="947" t="str">
        <f t="shared" ca="1" si="44"/>
        <v/>
      </c>
      <c r="G209" s="947">
        <f t="shared" ca="1" si="47"/>
        <v>8079.1410210071072</v>
      </c>
      <c r="H209" s="947">
        <f t="shared" ca="1" si="47"/>
        <v>8079.1410210071072</v>
      </c>
      <c r="I209" s="947">
        <f t="shared" ca="1" si="47"/>
        <v>8079.1410210071072</v>
      </c>
      <c r="J209" s="947">
        <f t="shared" ca="1" si="47"/>
        <v>8079.1410210071072</v>
      </c>
      <c r="K209" s="947">
        <f t="shared" ca="1" si="47"/>
        <v>8079.1410210071072</v>
      </c>
      <c r="L209" s="947">
        <f t="shared" ca="1" si="47"/>
        <v>8079.1410210071072</v>
      </c>
      <c r="M209" s="947">
        <f t="shared" ca="1" si="47"/>
        <v>8079.1410210071072</v>
      </c>
      <c r="AB209" s="353"/>
      <c r="AC209" s="353"/>
      <c r="AD209" s="353"/>
      <c r="AE209" s="353"/>
    </row>
    <row r="210" spans="1:31" ht="24.75" customHeight="1" x14ac:dyDescent="0.15">
      <c r="A210" s="26"/>
      <c r="B210" s="945" t="str">
        <f t="shared" ca="1" si="41"/>
        <v>Cost of purchased items</v>
      </c>
      <c r="C210" s="946" t="str">
        <f t="shared" ca="1" si="46"/>
        <v>'Cost Breakdown'</v>
      </c>
      <c r="D210" s="946">
        <f t="shared" ca="1" si="42"/>
        <v>119</v>
      </c>
      <c r="E210" s="946">
        <f t="shared" ca="1" si="43"/>
        <v>7</v>
      </c>
      <c r="F210" s="947" t="str">
        <f t="shared" ca="1" si="44"/>
        <v/>
      </c>
      <c r="G210" s="1089">
        <f t="shared" ca="1" si="47"/>
        <v>1571.7024695479377</v>
      </c>
      <c r="H210" s="947">
        <f t="shared" ca="1" si="47"/>
        <v>1571.7024695479377</v>
      </c>
      <c r="I210" s="947">
        <f t="shared" ca="1" si="47"/>
        <v>1571.7024695479377</v>
      </c>
      <c r="J210" s="947">
        <f t="shared" ca="1" si="47"/>
        <v>1571.7024695479377</v>
      </c>
      <c r="K210" s="947">
        <f t="shared" ca="1" si="47"/>
        <v>1571.7024695479377</v>
      </c>
      <c r="L210" s="947">
        <f t="shared" ca="1" si="47"/>
        <v>1571.7024695479377</v>
      </c>
      <c r="M210" s="947">
        <f t="shared" ca="1" si="47"/>
        <v>1571.7024695479377</v>
      </c>
    </row>
    <row r="211" spans="1:31" ht="15" customHeight="1" x14ac:dyDescent="0.15">
      <c r="A211" s="26"/>
      <c r="B211" s="945" t="str">
        <f t="shared" ca="1" si="41"/>
        <v>Aluminum content, kg/kWh</v>
      </c>
      <c r="C211" s="946" t="str">
        <f t="shared" ca="1" si="46"/>
        <v>Recycle</v>
      </c>
      <c r="D211" s="946">
        <f t="shared" ca="1" si="42"/>
        <v>78</v>
      </c>
      <c r="E211" s="946">
        <f t="shared" ca="1" si="43"/>
        <v>7</v>
      </c>
      <c r="F211" s="947" t="str">
        <f t="shared" ca="1" si="44"/>
        <v/>
      </c>
      <c r="G211" s="947">
        <f t="shared" ca="1" si="47"/>
        <v>0.65550690135541945</v>
      </c>
      <c r="H211" s="947">
        <f t="shared" ca="1" si="47"/>
        <v>0.65550690135541945</v>
      </c>
      <c r="I211" s="947">
        <f t="shared" ca="1" si="47"/>
        <v>0.65550690135541945</v>
      </c>
      <c r="J211" s="947">
        <f t="shared" ca="1" si="47"/>
        <v>0.65550690135541945</v>
      </c>
      <c r="K211" s="947">
        <f t="shared" ca="1" si="47"/>
        <v>0.65550690135541945</v>
      </c>
      <c r="L211" s="947">
        <f t="shared" ca="1" si="47"/>
        <v>0.65550690135541945</v>
      </c>
      <c r="M211" s="947">
        <f t="shared" ca="1" si="47"/>
        <v>0.65550690135541945</v>
      </c>
    </row>
    <row r="212" spans="1:31" ht="15" customHeight="1" x14ac:dyDescent="0.15">
      <c r="A212" s="26"/>
      <c r="B212" s="945" t="str">
        <f t="shared" ca="1" si="41"/>
        <v>Copper content, kg/kWh</v>
      </c>
      <c r="C212" s="946" t="str">
        <f t="shared" ca="1" si="46"/>
        <v>Recycle</v>
      </c>
      <c r="D212" s="946">
        <f t="shared" ca="1" si="42"/>
        <v>90</v>
      </c>
      <c r="E212" s="946">
        <f t="shared" ca="1" si="43"/>
        <v>7</v>
      </c>
      <c r="F212" s="947" t="str">
        <f t="shared" ca="1" si="44"/>
        <v/>
      </c>
      <c r="G212" s="947">
        <f t="shared" ca="1" si="47"/>
        <v>0.54662275492880297</v>
      </c>
      <c r="H212" s="947">
        <f t="shared" ca="1" si="47"/>
        <v>0.54662275492880297</v>
      </c>
      <c r="I212" s="947">
        <f t="shared" ca="1" si="47"/>
        <v>0.54662275492880297</v>
      </c>
      <c r="J212" s="947">
        <f t="shared" ca="1" si="47"/>
        <v>0.54662275492880297</v>
      </c>
      <c r="K212" s="947">
        <f t="shared" ca="1" si="47"/>
        <v>0.54662275492880297</v>
      </c>
      <c r="L212" s="947">
        <f t="shared" ca="1" si="47"/>
        <v>0.54662275492880297</v>
      </c>
      <c r="M212" s="947">
        <f t="shared" ca="1" si="47"/>
        <v>0.54662275492880297</v>
      </c>
    </row>
    <row r="213" spans="1:31" ht="15" customHeight="1" x14ac:dyDescent="0.15">
      <c r="A213" s="26"/>
      <c r="B213" s="945" t="str">
        <f t="shared" ca="1" si="41"/>
        <v/>
      </c>
      <c r="C213" s="946">
        <f t="shared" ca="1" si="46"/>
        <v>0</v>
      </c>
      <c r="D213" s="946" t="str">
        <f t="shared" ca="1" si="42"/>
        <v/>
      </c>
      <c r="E213" s="946" t="str">
        <f t="shared" ca="1" si="43"/>
        <v/>
      </c>
      <c r="F213" s="947" t="str">
        <f t="shared" ca="1" si="44"/>
        <v/>
      </c>
      <c r="G213" s="947" t="str">
        <f t="shared" ca="1" si="47"/>
        <v/>
      </c>
      <c r="H213" s="947" t="str">
        <f t="shared" ca="1" si="47"/>
        <v/>
      </c>
      <c r="I213" s="947" t="str">
        <f t="shared" ca="1" si="47"/>
        <v/>
      </c>
      <c r="J213" s="947" t="str">
        <f t="shared" ca="1" si="47"/>
        <v/>
      </c>
      <c r="K213" s="947" t="str">
        <f t="shared" ca="1" si="47"/>
        <v/>
      </c>
      <c r="L213" s="947" t="str">
        <f t="shared" ca="1" si="47"/>
        <v/>
      </c>
      <c r="M213" s="947" t="str">
        <f t="shared" ca="1" si="47"/>
        <v/>
      </c>
    </row>
    <row r="214" spans="1:31" ht="15" customHeight="1" x14ac:dyDescent="0.15">
      <c r="A214" s="26"/>
      <c r="B214" s="945" t="str">
        <f t="shared" ca="1" si="41"/>
        <v/>
      </c>
      <c r="C214" s="946" t="str">
        <f t="shared" ca="1" si="46"/>
        <v/>
      </c>
      <c r="D214" s="946" t="str">
        <f t="shared" ca="1" si="42"/>
        <v/>
      </c>
      <c r="E214" s="946" t="str">
        <f t="shared" ca="1" si="43"/>
        <v/>
      </c>
      <c r="F214" s="947" t="str">
        <f t="shared" ca="1" si="44"/>
        <v/>
      </c>
      <c r="G214" s="947" t="str">
        <f t="shared" ca="1" si="47"/>
        <v/>
      </c>
      <c r="H214" s="947" t="str">
        <f t="shared" ca="1" si="47"/>
        <v/>
      </c>
      <c r="I214" s="947" t="str">
        <f t="shared" ca="1" si="47"/>
        <v/>
      </c>
      <c r="J214" s="947" t="str">
        <f t="shared" ca="1" si="47"/>
        <v/>
      </c>
      <c r="K214" s="947" t="str">
        <f t="shared" ca="1" si="47"/>
        <v/>
      </c>
      <c r="L214" s="947" t="str">
        <f t="shared" ca="1" si="47"/>
        <v/>
      </c>
      <c r="M214" s="947" t="str">
        <f t="shared" ca="1" si="47"/>
        <v/>
      </c>
    </row>
    <row r="215" spans="1:31" ht="15" customHeight="1" x14ac:dyDescent="0.15">
      <c r="A215" s="26"/>
      <c r="B215" s="945" t="str">
        <f t="shared" ca="1" si="41"/>
        <v/>
      </c>
      <c r="C215" s="946" t="str">
        <f t="shared" ca="1" si="46"/>
        <v/>
      </c>
      <c r="D215" s="946" t="str">
        <f t="shared" ca="1" si="42"/>
        <v/>
      </c>
      <c r="E215" s="946" t="str">
        <f t="shared" ca="1" si="43"/>
        <v/>
      </c>
      <c r="F215" s="947" t="str">
        <f t="shared" ca="1" si="44"/>
        <v/>
      </c>
      <c r="G215" s="947" t="str">
        <f t="shared" ca="1" si="47"/>
        <v/>
      </c>
      <c r="H215" s="947" t="str">
        <f t="shared" ca="1" si="47"/>
        <v/>
      </c>
      <c r="I215" s="947" t="str">
        <f t="shared" ca="1" si="47"/>
        <v/>
      </c>
      <c r="J215" s="947" t="str">
        <f t="shared" ca="1" si="47"/>
        <v/>
      </c>
      <c r="K215" s="947" t="str">
        <f t="shared" ca="1" si="47"/>
        <v/>
      </c>
      <c r="L215" s="947" t="str">
        <f t="shared" ca="1" si="47"/>
        <v/>
      </c>
      <c r="M215" s="947" t="str">
        <f t="shared" ca="1" si="47"/>
        <v/>
      </c>
    </row>
    <row r="216" spans="1:31" ht="15" customHeight="1" x14ac:dyDescent="0.15">
      <c r="A216" s="26"/>
      <c r="B216" s="945" t="str">
        <f t="shared" ca="1" si="41"/>
        <v/>
      </c>
      <c r="C216" s="946" t="str">
        <f t="shared" ca="1" si="46"/>
        <v/>
      </c>
      <c r="D216" s="946" t="str">
        <f t="shared" ca="1" si="42"/>
        <v/>
      </c>
      <c r="E216" s="946" t="str">
        <f t="shared" ca="1" si="43"/>
        <v/>
      </c>
      <c r="F216" s="947" t="str">
        <f t="shared" ca="1" si="44"/>
        <v/>
      </c>
      <c r="G216" s="947" t="str">
        <f t="shared" ref="G216:M225" ca="1" si="48">IFERROR(IF(NOT($E216 = 7), "",INDIRECT($C216 &amp;"!" &amp;ADDRESS($D216,  COLUMN(INDIRECT(INDEX($AD$194:$AD$217, MATCH($C216, $Z$194:$Z$204, 0)) &amp; $D216)) +  G$195 - 1))), "")</f>
        <v/>
      </c>
      <c r="H216" s="947" t="str">
        <f t="shared" ca="1" si="48"/>
        <v/>
      </c>
      <c r="I216" s="947" t="str">
        <f t="shared" ca="1" si="48"/>
        <v/>
      </c>
      <c r="J216" s="947" t="str">
        <f t="shared" ca="1" si="48"/>
        <v/>
      </c>
      <c r="K216" s="947" t="str">
        <f t="shared" ca="1" si="48"/>
        <v/>
      </c>
      <c r="L216" s="947" t="str">
        <f t="shared" ca="1" si="48"/>
        <v/>
      </c>
      <c r="M216" s="947" t="str">
        <f t="shared" ca="1" si="48"/>
        <v/>
      </c>
    </row>
    <row r="217" spans="1:31" ht="15" customHeight="1" x14ac:dyDescent="0.15">
      <c r="A217" s="26"/>
      <c r="B217" s="945" t="str">
        <f t="shared" ca="1" si="41"/>
        <v/>
      </c>
      <c r="C217" s="946" t="str">
        <f t="shared" ca="1" si="46"/>
        <v/>
      </c>
      <c r="D217" s="946" t="str">
        <f t="shared" ca="1" si="42"/>
        <v/>
      </c>
      <c r="E217" s="946" t="str">
        <f t="shared" ca="1" si="43"/>
        <v/>
      </c>
      <c r="F217" s="947" t="str">
        <f t="shared" ca="1" si="44"/>
        <v/>
      </c>
      <c r="G217" s="947" t="str">
        <f t="shared" ca="1" si="48"/>
        <v/>
      </c>
      <c r="H217" s="947" t="str">
        <f t="shared" ca="1" si="48"/>
        <v/>
      </c>
      <c r="I217" s="947" t="str">
        <f t="shared" ca="1" si="48"/>
        <v/>
      </c>
      <c r="J217" s="947" t="str">
        <f t="shared" ca="1" si="48"/>
        <v/>
      </c>
      <c r="K217" s="947" t="str">
        <f t="shared" ca="1" si="48"/>
        <v/>
      </c>
      <c r="L217" s="947" t="str">
        <f t="shared" ca="1" si="48"/>
        <v/>
      </c>
      <c r="M217" s="947" t="str">
        <f t="shared" ca="1" si="48"/>
        <v/>
      </c>
    </row>
    <row r="218" spans="1:31" ht="15" customHeight="1" x14ac:dyDescent="0.15">
      <c r="A218" s="26"/>
      <c r="B218" s="945" t="str">
        <f t="shared" ca="1" si="41"/>
        <v/>
      </c>
      <c r="C218" s="946" t="str">
        <f t="shared" ca="1" si="46"/>
        <v/>
      </c>
      <c r="D218" s="946" t="str">
        <f t="shared" ca="1" si="42"/>
        <v/>
      </c>
      <c r="E218" s="946" t="str">
        <f t="shared" ca="1" si="43"/>
        <v/>
      </c>
      <c r="F218" s="947" t="str">
        <f t="shared" ca="1" si="44"/>
        <v/>
      </c>
      <c r="G218" s="947" t="str">
        <f t="shared" ca="1" si="48"/>
        <v/>
      </c>
      <c r="H218" s="947" t="str">
        <f t="shared" ca="1" si="48"/>
        <v/>
      </c>
      <c r="I218" s="947" t="str">
        <f t="shared" ca="1" si="48"/>
        <v/>
      </c>
      <c r="J218" s="947" t="str">
        <f t="shared" ca="1" si="48"/>
        <v/>
      </c>
      <c r="K218" s="947" t="str">
        <f t="shared" ca="1" si="48"/>
        <v/>
      </c>
      <c r="L218" s="947" t="str">
        <f t="shared" ca="1" si="48"/>
        <v/>
      </c>
      <c r="M218" s="947" t="str">
        <f t="shared" ca="1" si="48"/>
        <v/>
      </c>
    </row>
    <row r="219" spans="1:31" ht="15" customHeight="1" x14ac:dyDescent="0.15">
      <c r="A219" s="26"/>
      <c r="B219" s="945" t="str">
        <f t="shared" ca="1" si="41"/>
        <v/>
      </c>
      <c r="C219" s="946" t="str">
        <f t="shared" ca="1" si="46"/>
        <v/>
      </c>
      <c r="D219" s="946" t="str">
        <f t="shared" ca="1" si="42"/>
        <v/>
      </c>
      <c r="E219" s="946" t="str">
        <f t="shared" ca="1" si="43"/>
        <v/>
      </c>
      <c r="F219" s="947" t="str">
        <f t="shared" ca="1" si="44"/>
        <v/>
      </c>
      <c r="G219" s="947" t="str">
        <f t="shared" ca="1" si="48"/>
        <v/>
      </c>
      <c r="H219" s="947" t="str">
        <f t="shared" ca="1" si="48"/>
        <v/>
      </c>
      <c r="I219" s="947" t="str">
        <f t="shared" ca="1" si="48"/>
        <v/>
      </c>
      <c r="J219" s="947" t="str">
        <f t="shared" ca="1" si="48"/>
        <v/>
      </c>
      <c r="K219" s="947" t="str">
        <f t="shared" ca="1" si="48"/>
        <v/>
      </c>
      <c r="L219" s="947" t="str">
        <f t="shared" ca="1" si="48"/>
        <v/>
      </c>
      <c r="M219" s="947" t="str">
        <f t="shared" ca="1" si="48"/>
        <v/>
      </c>
    </row>
    <row r="220" spans="1:31" ht="23.25" customHeight="1" x14ac:dyDescent="0.15">
      <c r="A220" s="26"/>
      <c r="B220" s="945" t="str">
        <f t="shared" ca="1" si="41"/>
        <v/>
      </c>
      <c r="C220" s="946" t="str">
        <f t="shared" ca="1" si="46"/>
        <v/>
      </c>
      <c r="D220" s="946" t="str">
        <f t="shared" ca="1" si="42"/>
        <v/>
      </c>
      <c r="E220" s="946" t="str">
        <f t="shared" ca="1" si="43"/>
        <v/>
      </c>
      <c r="F220" s="947" t="str">
        <f t="shared" ca="1" si="44"/>
        <v/>
      </c>
      <c r="G220" s="947" t="str">
        <f t="shared" ca="1" si="48"/>
        <v/>
      </c>
      <c r="H220" s="947" t="str">
        <f t="shared" ca="1" si="48"/>
        <v/>
      </c>
      <c r="I220" s="947" t="str">
        <f t="shared" ca="1" si="48"/>
        <v/>
      </c>
      <c r="J220" s="947" t="str">
        <f t="shared" ca="1" si="48"/>
        <v/>
      </c>
      <c r="K220" s="947" t="str">
        <f t="shared" ca="1" si="48"/>
        <v/>
      </c>
      <c r="L220" s="947" t="str">
        <f t="shared" ca="1" si="48"/>
        <v/>
      </c>
      <c r="M220" s="947" t="str">
        <f t="shared" ca="1" si="48"/>
        <v/>
      </c>
    </row>
    <row r="221" spans="1:31" ht="29.25" customHeight="1" x14ac:dyDescent="0.15">
      <c r="A221" s="26"/>
      <c r="B221" s="945" t="str">
        <f t="shared" ca="1" si="41"/>
        <v/>
      </c>
      <c r="C221" s="946" t="str">
        <f t="shared" ca="1" si="46"/>
        <v/>
      </c>
      <c r="D221" s="946" t="str">
        <f t="shared" ca="1" si="42"/>
        <v/>
      </c>
      <c r="E221" s="946" t="str">
        <f t="shared" ca="1" si="43"/>
        <v/>
      </c>
      <c r="F221" s="947" t="str">
        <f t="shared" ca="1" si="44"/>
        <v/>
      </c>
      <c r="G221" s="947" t="str">
        <f t="shared" ca="1" si="48"/>
        <v/>
      </c>
      <c r="H221" s="947" t="str">
        <f t="shared" ca="1" si="48"/>
        <v/>
      </c>
      <c r="I221" s="947" t="str">
        <f t="shared" ca="1" si="48"/>
        <v/>
      </c>
      <c r="J221" s="947" t="str">
        <f t="shared" ca="1" si="48"/>
        <v/>
      </c>
      <c r="K221" s="947" t="str">
        <f t="shared" ca="1" si="48"/>
        <v/>
      </c>
      <c r="L221" s="947" t="str">
        <f t="shared" ca="1" si="48"/>
        <v/>
      </c>
      <c r="M221" s="947" t="str">
        <f t="shared" ca="1" si="48"/>
        <v/>
      </c>
    </row>
    <row r="222" spans="1:31" ht="15" customHeight="1" x14ac:dyDescent="0.15">
      <c r="A222" s="26"/>
      <c r="B222" s="945" t="str">
        <f t="shared" ca="1" si="41"/>
        <v/>
      </c>
      <c r="C222" s="946" t="str">
        <f t="shared" ca="1" si="46"/>
        <v/>
      </c>
      <c r="D222" s="946" t="str">
        <f t="shared" ca="1" si="42"/>
        <v/>
      </c>
      <c r="E222" s="946" t="str">
        <f t="shared" ca="1" si="43"/>
        <v/>
      </c>
      <c r="F222" s="947" t="str">
        <f t="shared" ca="1" si="44"/>
        <v/>
      </c>
      <c r="G222" s="947" t="str">
        <f t="shared" ca="1" si="48"/>
        <v/>
      </c>
      <c r="H222" s="947" t="str">
        <f t="shared" ca="1" si="48"/>
        <v/>
      </c>
      <c r="I222" s="947" t="str">
        <f t="shared" ca="1" si="48"/>
        <v/>
      </c>
      <c r="J222" s="947" t="str">
        <f t="shared" ca="1" si="48"/>
        <v/>
      </c>
      <c r="K222" s="947" t="str">
        <f t="shared" ca="1" si="48"/>
        <v/>
      </c>
      <c r="L222" s="947" t="str">
        <f t="shared" ca="1" si="48"/>
        <v/>
      </c>
      <c r="M222" s="947" t="str">
        <f t="shared" ca="1" si="48"/>
        <v/>
      </c>
    </row>
    <row r="223" spans="1:31" ht="29.25" customHeight="1" x14ac:dyDescent="0.15">
      <c r="A223" s="26"/>
      <c r="B223" s="945" t="str">
        <f t="shared" ca="1" si="41"/>
        <v/>
      </c>
      <c r="C223" s="946" t="str">
        <f t="shared" ca="1" si="46"/>
        <v/>
      </c>
      <c r="D223" s="946" t="str">
        <f t="shared" ca="1" si="42"/>
        <v/>
      </c>
      <c r="E223" s="946" t="str">
        <f t="shared" ca="1" si="43"/>
        <v/>
      </c>
      <c r="F223" s="947" t="str">
        <f t="shared" ca="1" si="44"/>
        <v/>
      </c>
      <c r="G223" s="947" t="str">
        <f t="shared" ca="1" si="48"/>
        <v/>
      </c>
      <c r="H223" s="947" t="str">
        <f t="shared" ca="1" si="48"/>
        <v/>
      </c>
      <c r="I223" s="947" t="str">
        <f t="shared" ca="1" si="48"/>
        <v/>
      </c>
      <c r="J223" s="947" t="str">
        <f t="shared" ca="1" si="48"/>
        <v/>
      </c>
      <c r="K223" s="947" t="str">
        <f t="shared" ca="1" si="48"/>
        <v/>
      </c>
      <c r="L223" s="947" t="str">
        <f t="shared" ca="1" si="48"/>
        <v/>
      </c>
      <c r="M223" s="947" t="str">
        <f t="shared" ca="1" si="48"/>
        <v/>
      </c>
    </row>
    <row r="224" spans="1:31" ht="15" customHeight="1" x14ac:dyDescent="0.15">
      <c r="A224" s="26"/>
      <c r="B224" s="945" t="str">
        <f t="shared" ca="1" si="41"/>
        <v/>
      </c>
      <c r="C224" s="946" t="str">
        <f t="shared" ca="1" si="46"/>
        <v/>
      </c>
      <c r="D224" s="946" t="str">
        <f t="shared" ca="1" si="42"/>
        <v/>
      </c>
      <c r="E224" s="946" t="str">
        <f t="shared" ca="1" si="43"/>
        <v/>
      </c>
      <c r="F224" s="947" t="str">
        <f t="shared" ca="1" si="44"/>
        <v/>
      </c>
      <c r="G224" s="947" t="str">
        <f t="shared" ca="1" si="48"/>
        <v/>
      </c>
      <c r="H224" s="947" t="str">
        <f t="shared" ca="1" si="48"/>
        <v/>
      </c>
      <c r="I224" s="947" t="str">
        <f t="shared" ca="1" si="48"/>
        <v/>
      </c>
      <c r="J224" s="947" t="str">
        <f t="shared" ca="1" si="48"/>
        <v/>
      </c>
      <c r="K224" s="947" t="str">
        <f t="shared" ca="1" si="48"/>
        <v/>
      </c>
      <c r="L224" s="947" t="str">
        <f t="shared" ca="1" si="48"/>
        <v/>
      </c>
      <c r="M224" s="947" t="str">
        <f t="shared" ca="1" si="48"/>
        <v/>
      </c>
    </row>
    <row r="225" spans="1:13" ht="15" customHeight="1" x14ac:dyDescent="0.15">
      <c r="A225" s="26"/>
      <c r="B225" s="945" t="str">
        <f t="shared" ca="1" si="41"/>
        <v/>
      </c>
      <c r="C225" s="946" t="str">
        <f t="shared" ca="1" si="46"/>
        <v/>
      </c>
      <c r="D225" s="946" t="str">
        <f t="shared" ca="1" si="42"/>
        <v/>
      </c>
      <c r="E225" s="946" t="str">
        <f t="shared" ca="1" si="43"/>
        <v/>
      </c>
      <c r="F225" s="947" t="str">
        <f t="shared" ca="1" si="44"/>
        <v/>
      </c>
      <c r="G225" s="947" t="str">
        <f t="shared" ca="1" si="48"/>
        <v/>
      </c>
      <c r="H225" s="947" t="str">
        <f t="shared" ca="1" si="48"/>
        <v/>
      </c>
      <c r="I225" s="947" t="str">
        <f t="shared" ca="1" si="48"/>
        <v/>
      </c>
      <c r="J225" s="947" t="str">
        <f t="shared" ca="1" si="48"/>
        <v/>
      </c>
      <c r="K225" s="947" t="str">
        <f t="shared" ca="1" si="48"/>
        <v/>
      </c>
      <c r="L225" s="947" t="str">
        <f t="shared" ca="1" si="48"/>
        <v/>
      </c>
      <c r="M225" s="947" t="str">
        <f t="shared" ca="1" si="48"/>
        <v/>
      </c>
    </row>
    <row r="226" spans="1:13" ht="15" customHeight="1" x14ac:dyDescent="0.15">
      <c r="A226" s="26"/>
      <c r="B226" s="945" t="str">
        <f t="shared" ca="1" si="41"/>
        <v/>
      </c>
      <c r="C226" s="946" t="str">
        <f t="shared" ca="1" si="46"/>
        <v/>
      </c>
      <c r="D226" s="946" t="str">
        <f t="shared" ca="1" si="42"/>
        <v/>
      </c>
      <c r="E226" s="946" t="str">
        <f t="shared" ca="1" si="43"/>
        <v/>
      </c>
      <c r="F226" s="947" t="str">
        <f t="shared" ca="1" si="44"/>
        <v/>
      </c>
      <c r="G226" s="947" t="str">
        <f t="shared" ref="G226:M235" ca="1" si="49">IFERROR(IF(NOT($E226 = 7), "",INDIRECT($C226 &amp;"!" &amp;ADDRESS($D226,  COLUMN(INDIRECT(INDEX($AD$194:$AD$217, MATCH($C226, $Z$194:$Z$204, 0)) &amp; $D226)) +  G$195 - 1))), "")</f>
        <v/>
      </c>
      <c r="H226" s="947" t="str">
        <f t="shared" ca="1" si="49"/>
        <v/>
      </c>
      <c r="I226" s="947" t="str">
        <f t="shared" ca="1" si="49"/>
        <v/>
      </c>
      <c r="J226" s="947" t="str">
        <f t="shared" ca="1" si="49"/>
        <v/>
      </c>
      <c r="K226" s="947" t="str">
        <f t="shared" ca="1" si="49"/>
        <v/>
      </c>
      <c r="L226" s="947" t="str">
        <f t="shared" ca="1" si="49"/>
        <v/>
      </c>
      <c r="M226" s="947" t="str">
        <f t="shared" ca="1" si="49"/>
        <v/>
      </c>
    </row>
    <row r="227" spans="1:13" ht="15" customHeight="1" x14ac:dyDescent="0.15">
      <c r="A227" s="26"/>
      <c r="B227" s="945" t="str">
        <f t="shared" ca="1" si="41"/>
        <v/>
      </c>
      <c r="C227" s="946" t="str">
        <f t="shared" ca="1" si="46"/>
        <v/>
      </c>
      <c r="D227" s="946" t="str">
        <f t="shared" ca="1" si="42"/>
        <v/>
      </c>
      <c r="E227" s="946" t="str">
        <f t="shared" ca="1" si="43"/>
        <v/>
      </c>
      <c r="F227" s="947" t="str">
        <f t="shared" ca="1" si="44"/>
        <v/>
      </c>
      <c r="G227" s="947" t="str">
        <f t="shared" ca="1" si="49"/>
        <v/>
      </c>
      <c r="H227" s="947" t="str">
        <f t="shared" ca="1" si="49"/>
        <v/>
      </c>
      <c r="I227" s="947" t="str">
        <f t="shared" ca="1" si="49"/>
        <v/>
      </c>
      <c r="J227" s="947" t="str">
        <f t="shared" ca="1" si="49"/>
        <v/>
      </c>
      <c r="K227" s="947" t="str">
        <f t="shared" ca="1" si="49"/>
        <v/>
      </c>
      <c r="L227" s="947" t="str">
        <f t="shared" ca="1" si="49"/>
        <v/>
      </c>
      <c r="M227" s="947" t="str">
        <f t="shared" ca="1" si="49"/>
        <v/>
      </c>
    </row>
    <row r="228" spans="1:13" ht="15" customHeight="1" x14ac:dyDescent="0.15">
      <c r="A228" s="26"/>
      <c r="B228" s="945" t="str">
        <f t="shared" ref="B228:B259" ca="1" si="50">IFERROR(IF(BB234= "", IF(ISBLANK(INDIRECT(C228 &amp;"!$" &amp;INDEX($AC$194:$AC$217, MATCH(C228, $Z$194:$Z$204, 0))&amp;  D228)), "", INDIRECT(C228 &amp;"!$" &amp;INDEX($AC$194:$AC$217, MATCH(C228, $Z$194:$Z$204, 0))&amp;  D228)), INDIRECT(C228 &amp;"!$" &amp;DD234&amp;  D228)), "")</f>
        <v/>
      </c>
      <c r="C228" s="946" t="str">
        <f t="shared" ca="1" si="46"/>
        <v/>
      </c>
      <c r="D228" s="946" t="str">
        <f t="shared" ref="D228:D259" ca="1" si="51">IFERROR(MATCH("x",INDIRECT(C228&amp;"!$"&amp;INDEX($AB$194:$AB$217,MATCH(C228,$Z$194:$Z$204,0))&amp;IF(NOT(C228=C227),1,D227+1)&amp;":$"&amp;INDEX($AB$194:$AB$217,MATCH(C228,$Z$194:$Z$204,0))&amp;"20000"),0)+IF(NOT(C228=C227),0,D227), "")</f>
        <v/>
      </c>
      <c r="E228" s="946" t="str">
        <f t="shared" ref="E228:E259" ca="1" si="52">IFERROR(INDEX( $AF$194:$AF$209,MATCH(C228, $Z$194:$Z$208, 0)), "")</f>
        <v/>
      </c>
      <c r="F228" s="947" t="str">
        <f t="shared" ref="F228:F259" ca="1" si="53">IFERROR(IF(NOT(E228 = 1), "",  IF(ISBLANK(INDIRECT(C228 &amp;"!$" &amp;INDEX($AD$194:$AD$217, MATCH(C228, $Z$194:$Z$204, 0))&amp;  D228)), "",INDIRECT(C228 &amp;"!$" &amp;INDEX($AD$194:$AD$217, MATCH(C228, $Z$194:$Z$204, 0))&amp;  D228))),  "")</f>
        <v/>
      </c>
      <c r="G228" s="947" t="str">
        <f t="shared" ca="1" si="49"/>
        <v/>
      </c>
      <c r="H228" s="947" t="str">
        <f t="shared" ca="1" si="49"/>
        <v/>
      </c>
      <c r="I228" s="947" t="str">
        <f t="shared" ca="1" si="49"/>
        <v/>
      </c>
      <c r="J228" s="947" t="str">
        <f t="shared" ca="1" si="49"/>
        <v/>
      </c>
      <c r="K228" s="947" t="str">
        <f t="shared" ca="1" si="49"/>
        <v/>
      </c>
      <c r="L228" s="947" t="str">
        <f t="shared" ca="1" si="49"/>
        <v/>
      </c>
      <c r="M228" s="947" t="str">
        <f t="shared" ca="1" si="49"/>
        <v/>
      </c>
    </row>
    <row r="229" spans="1:13" ht="15" customHeight="1" x14ac:dyDescent="0.15">
      <c r="A229" s="26"/>
      <c r="B229" s="945" t="str">
        <f t="shared" ca="1" si="50"/>
        <v/>
      </c>
      <c r="C229" s="946" t="str">
        <f t="shared" ref="C229:C260" ca="1" si="54">IFERROR(IF(ROW(E229) - ROW($E$196) &gt; INDEX($AE$194:$AE$219, MATCH(C228, $Z$194:$Z$204, 0)), INDEX($Z$194:$Z$204, MATCH(C228, $Z$194:$Z$204, 0) + 1), C228), "")</f>
        <v/>
      </c>
      <c r="D229" s="946" t="str">
        <f t="shared" ca="1" si="51"/>
        <v/>
      </c>
      <c r="E229" s="946" t="str">
        <f t="shared" ca="1" si="52"/>
        <v/>
      </c>
      <c r="F229" s="947" t="str">
        <f t="shared" ca="1" si="53"/>
        <v/>
      </c>
      <c r="G229" s="947" t="str">
        <f t="shared" ca="1" si="49"/>
        <v/>
      </c>
      <c r="H229" s="947" t="str">
        <f t="shared" ca="1" si="49"/>
        <v/>
      </c>
      <c r="I229" s="947" t="str">
        <f t="shared" ca="1" si="49"/>
        <v/>
      </c>
      <c r="J229" s="947" t="str">
        <f t="shared" ca="1" si="49"/>
        <v/>
      </c>
      <c r="K229" s="947" t="str">
        <f t="shared" ca="1" si="49"/>
        <v/>
      </c>
      <c r="L229" s="947" t="str">
        <f t="shared" ca="1" si="49"/>
        <v/>
      </c>
      <c r="M229" s="947" t="str">
        <f t="shared" ca="1" si="49"/>
        <v/>
      </c>
    </row>
    <row r="230" spans="1:13" ht="15" customHeight="1" x14ac:dyDescent="0.15">
      <c r="A230" s="26"/>
      <c r="B230" s="945" t="str">
        <f t="shared" ca="1" si="50"/>
        <v/>
      </c>
      <c r="C230" s="946" t="str">
        <f t="shared" ca="1" si="54"/>
        <v/>
      </c>
      <c r="D230" s="946" t="str">
        <f t="shared" ca="1" si="51"/>
        <v/>
      </c>
      <c r="E230" s="946" t="str">
        <f t="shared" ca="1" si="52"/>
        <v/>
      </c>
      <c r="F230" s="947" t="str">
        <f t="shared" ca="1" si="53"/>
        <v/>
      </c>
      <c r="G230" s="947" t="str">
        <f t="shared" ca="1" si="49"/>
        <v/>
      </c>
      <c r="H230" s="947" t="str">
        <f t="shared" ca="1" si="49"/>
        <v/>
      </c>
      <c r="I230" s="947" t="str">
        <f t="shared" ca="1" si="49"/>
        <v/>
      </c>
      <c r="J230" s="947" t="str">
        <f t="shared" ca="1" si="49"/>
        <v/>
      </c>
      <c r="K230" s="947" t="str">
        <f t="shared" ca="1" si="49"/>
        <v/>
      </c>
      <c r="L230" s="947" t="str">
        <f t="shared" ca="1" si="49"/>
        <v/>
      </c>
      <c r="M230" s="947" t="str">
        <f t="shared" ca="1" si="49"/>
        <v/>
      </c>
    </row>
    <row r="231" spans="1:13" ht="15" customHeight="1" x14ac:dyDescent="0.15">
      <c r="A231" s="26"/>
      <c r="B231" s="945" t="str">
        <f t="shared" ca="1" si="50"/>
        <v/>
      </c>
      <c r="C231" s="946" t="str">
        <f t="shared" ca="1" si="54"/>
        <v/>
      </c>
      <c r="D231" s="946" t="str">
        <f t="shared" ca="1" si="51"/>
        <v/>
      </c>
      <c r="E231" s="946" t="str">
        <f t="shared" ca="1" si="52"/>
        <v/>
      </c>
      <c r="F231" s="947" t="str">
        <f t="shared" ca="1" si="53"/>
        <v/>
      </c>
      <c r="G231" s="947" t="str">
        <f t="shared" ca="1" si="49"/>
        <v/>
      </c>
      <c r="H231" s="947" t="str">
        <f t="shared" ca="1" si="49"/>
        <v/>
      </c>
      <c r="I231" s="947" t="str">
        <f t="shared" ca="1" si="49"/>
        <v/>
      </c>
      <c r="J231" s="947" t="str">
        <f t="shared" ca="1" si="49"/>
        <v/>
      </c>
      <c r="K231" s="947" t="str">
        <f t="shared" ca="1" si="49"/>
        <v/>
      </c>
      <c r="L231" s="947" t="str">
        <f t="shared" ca="1" si="49"/>
        <v/>
      </c>
      <c r="M231" s="947" t="str">
        <f t="shared" ca="1" si="49"/>
        <v/>
      </c>
    </row>
    <row r="232" spans="1:13" ht="15" customHeight="1" x14ac:dyDescent="0.15">
      <c r="A232" s="26"/>
      <c r="B232" s="945" t="str">
        <f t="shared" ca="1" si="50"/>
        <v/>
      </c>
      <c r="C232" s="946" t="str">
        <f t="shared" ca="1" si="54"/>
        <v/>
      </c>
      <c r="D232" s="946" t="str">
        <f t="shared" ca="1" si="51"/>
        <v/>
      </c>
      <c r="E232" s="946" t="str">
        <f t="shared" ca="1" si="52"/>
        <v/>
      </c>
      <c r="F232" s="947" t="str">
        <f t="shared" ca="1" si="53"/>
        <v/>
      </c>
      <c r="G232" s="947" t="str">
        <f t="shared" ca="1" si="49"/>
        <v/>
      </c>
      <c r="H232" s="947" t="str">
        <f t="shared" ca="1" si="49"/>
        <v/>
      </c>
      <c r="I232" s="947" t="str">
        <f t="shared" ca="1" si="49"/>
        <v/>
      </c>
      <c r="J232" s="947" t="str">
        <f t="shared" ca="1" si="49"/>
        <v/>
      </c>
      <c r="K232" s="947" t="str">
        <f t="shared" ca="1" si="49"/>
        <v/>
      </c>
      <c r="L232" s="947" t="str">
        <f t="shared" ca="1" si="49"/>
        <v/>
      </c>
      <c r="M232" s="947" t="str">
        <f t="shared" ca="1" si="49"/>
        <v/>
      </c>
    </row>
    <row r="233" spans="1:13" ht="15" customHeight="1" x14ac:dyDescent="0.15">
      <c r="A233" s="26"/>
      <c r="B233" s="945" t="str">
        <f t="shared" ca="1" si="50"/>
        <v/>
      </c>
      <c r="C233" s="946" t="str">
        <f t="shared" ca="1" si="54"/>
        <v/>
      </c>
      <c r="D233" s="946" t="str">
        <f t="shared" ca="1" si="51"/>
        <v/>
      </c>
      <c r="E233" s="946" t="str">
        <f t="shared" ca="1" si="52"/>
        <v/>
      </c>
      <c r="F233" s="947" t="str">
        <f t="shared" ca="1" si="53"/>
        <v/>
      </c>
      <c r="G233" s="947" t="str">
        <f t="shared" ca="1" si="49"/>
        <v/>
      </c>
      <c r="H233" s="947" t="str">
        <f t="shared" ca="1" si="49"/>
        <v/>
      </c>
      <c r="I233" s="947" t="str">
        <f t="shared" ca="1" si="49"/>
        <v/>
      </c>
      <c r="J233" s="947" t="str">
        <f t="shared" ca="1" si="49"/>
        <v/>
      </c>
      <c r="K233" s="947" t="str">
        <f t="shared" ca="1" si="49"/>
        <v/>
      </c>
      <c r="L233" s="947" t="str">
        <f t="shared" ca="1" si="49"/>
        <v/>
      </c>
      <c r="M233" s="947" t="str">
        <f t="shared" ca="1" si="49"/>
        <v/>
      </c>
    </row>
    <row r="234" spans="1:13" ht="30.75" customHeight="1" x14ac:dyDescent="0.15">
      <c r="A234" s="26"/>
      <c r="B234" s="945" t="str">
        <f t="shared" ca="1" si="50"/>
        <v/>
      </c>
      <c r="C234" s="946" t="str">
        <f t="shared" ca="1" si="54"/>
        <v/>
      </c>
      <c r="D234" s="946" t="str">
        <f t="shared" ca="1" si="51"/>
        <v/>
      </c>
      <c r="E234" s="946" t="str">
        <f t="shared" ca="1" si="52"/>
        <v/>
      </c>
      <c r="F234" s="947" t="str">
        <f t="shared" ca="1" si="53"/>
        <v/>
      </c>
      <c r="G234" s="947" t="str">
        <f t="shared" ca="1" si="49"/>
        <v/>
      </c>
      <c r="H234" s="947" t="str">
        <f t="shared" ca="1" si="49"/>
        <v/>
      </c>
      <c r="I234" s="947" t="str">
        <f t="shared" ca="1" si="49"/>
        <v/>
      </c>
      <c r="J234" s="947" t="str">
        <f t="shared" ca="1" si="49"/>
        <v/>
      </c>
      <c r="K234" s="947" t="str">
        <f t="shared" ca="1" si="49"/>
        <v/>
      </c>
      <c r="L234" s="947" t="str">
        <f t="shared" ca="1" si="49"/>
        <v/>
      </c>
      <c r="M234" s="947" t="str">
        <f t="shared" ca="1" si="49"/>
        <v/>
      </c>
    </row>
    <row r="235" spans="1:13" ht="15" customHeight="1" x14ac:dyDescent="0.15">
      <c r="A235" s="26"/>
      <c r="B235" s="945" t="str">
        <f t="shared" ca="1" si="50"/>
        <v/>
      </c>
      <c r="C235" s="946" t="str">
        <f t="shared" ca="1" si="54"/>
        <v/>
      </c>
      <c r="D235" s="946" t="str">
        <f t="shared" ca="1" si="51"/>
        <v/>
      </c>
      <c r="E235" s="946" t="str">
        <f t="shared" ca="1" si="52"/>
        <v/>
      </c>
      <c r="F235" s="947" t="str">
        <f t="shared" ca="1" si="53"/>
        <v/>
      </c>
      <c r="G235" s="947" t="str">
        <f t="shared" ca="1" si="49"/>
        <v/>
      </c>
      <c r="H235" s="947" t="str">
        <f t="shared" ca="1" si="49"/>
        <v/>
      </c>
      <c r="I235" s="947" t="str">
        <f t="shared" ca="1" si="49"/>
        <v/>
      </c>
      <c r="J235" s="947" t="str">
        <f t="shared" ca="1" si="49"/>
        <v/>
      </c>
      <c r="K235" s="947" t="str">
        <f t="shared" ca="1" si="49"/>
        <v/>
      </c>
      <c r="L235" s="947" t="str">
        <f t="shared" ca="1" si="49"/>
        <v/>
      </c>
      <c r="M235" s="947" t="str">
        <f t="shared" ca="1" si="49"/>
        <v/>
      </c>
    </row>
    <row r="236" spans="1:13" ht="15" customHeight="1" x14ac:dyDescent="0.15">
      <c r="A236" s="26"/>
      <c r="B236" s="945" t="str">
        <f t="shared" ca="1" si="50"/>
        <v/>
      </c>
      <c r="C236" s="946" t="str">
        <f t="shared" ca="1" si="54"/>
        <v/>
      </c>
      <c r="D236" s="946" t="str">
        <f t="shared" ca="1" si="51"/>
        <v/>
      </c>
      <c r="E236" s="946" t="str">
        <f t="shared" ca="1" si="52"/>
        <v/>
      </c>
      <c r="F236" s="947" t="str">
        <f t="shared" ca="1" si="53"/>
        <v/>
      </c>
      <c r="G236" s="947" t="str">
        <f t="shared" ref="G236:M245" ca="1" si="55">IFERROR(IF(NOT($E236 = 7), "",INDIRECT($C236 &amp;"!" &amp;ADDRESS($D236,  COLUMN(INDIRECT(INDEX($AD$194:$AD$217, MATCH($C236, $Z$194:$Z$204, 0)) &amp; $D236)) +  G$195 - 1))), "")</f>
        <v/>
      </c>
      <c r="H236" s="947" t="str">
        <f t="shared" ca="1" si="55"/>
        <v/>
      </c>
      <c r="I236" s="947" t="str">
        <f t="shared" ca="1" si="55"/>
        <v/>
      </c>
      <c r="J236" s="947" t="str">
        <f t="shared" ca="1" si="55"/>
        <v/>
      </c>
      <c r="K236" s="947" t="str">
        <f t="shared" ca="1" si="55"/>
        <v/>
      </c>
      <c r="L236" s="947" t="str">
        <f t="shared" ca="1" si="55"/>
        <v/>
      </c>
      <c r="M236" s="947" t="str">
        <f t="shared" ca="1" si="55"/>
        <v/>
      </c>
    </row>
    <row r="237" spans="1:13" ht="15" customHeight="1" x14ac:dyDescent="0.15">
      <c r="A237" s="26"/>
      <c r="B237" s="945" t="str">
        <f t="shared" ca="1" si="50"/>
        <v/>
      </c>
      <c r="C237" s="946" t="str">
        <f t="shared" ca="1" si="54"/>
        <v/>
      </c>
      <c r="D237" s="946" t="str">
        <f t="shared" ca="1" si="51"/>
        <v/>
      </c>
      <c r="E237" s="946" t="str">
        <f t="shared" ca="1" si="52"/>
        <v/>
      </c>
      <c r="F237" s="947" t="str">
        <f t="shared" ca="1" si="53"/>
        <v/>
      </c>
      <c r="G237" s="947" t="str">
        <f t="shared" ca="1" si="55"/>
        <v/>
      </c>
      <c r="H237" s="947" t="str">
        <f t="shared" ca="1" si="55"/>
        <v/>
      </c>
      <c r="I237" s="947" t="str">
        <f t="shared" ca="1" si="55"/>
        <v/>
      </c>
      <c r="J237" s="947" t="str">
        <f t="shared" ca="1" si="55"/>
        <v/>
      </c>
      <c r="K237" s="947" t="str">
        <f t="shared" ca="1" si="55"/>
        <v/>
      </c>
      <c r="L237" s="947" t="str">
        <f t="shared" ca="1" si="55"/>
        <v/>
      </c>
      <c r="M237" s="947" t="str">
        <f t="shared" ca="1" si="55"/>
        <v/>
      </c>
    </row>
    <row r="238" spans="1:13" ht="15" customHeight="1" x14ac:dyDescent="0.15">
      <c r="A238" s="26"/>
      <c r="B238" s="945" t="str">
        <f t="shared" ca="1" si="50"/>
        <v/>
      </c>
      <c r="C238" s="946" t="str">
        <f t="shared" ca="1" si="54"/>
        <v/>
      </c>
      <c r="D238" s="946" t="str">
        <f t="shared" ca="1" si="51"/>
        <v/>
      </c>
      <c r="E238" s="946" t="str">
        <f t="shared" ca="1" si="52"/>
        <v/>
      </c>
      <c r="F238" s="947" t="str">
        <f t="shared" ca="1" si="53"/>
        <v/>
      </c>
      <c r="G238" s="947" t="str">
        <f t="shared" ca="1" si="55"/>
        <v/>
      </c>
      <c r="H238" s="947" t="str">
        <f t="shared" ca="1" si="55"/>
        <v/>
      </c>
      <c r="I238" s="947" t="str">
        <f t="shared" ca="1" si="55"/>
        <v/>
      </c>
      <c r="J238" s="947" t="str">
        <f t="shared" ca="1" si="55"/>
        <v/>
      </c>
      <c r="K238" s="947" t="str">
        <f t="shared" ca="1" si="55"/>
        <v/>
      </c>
      <c r="L238" s="947" t="str">
        <f t="shared" ca="1" si="55"/>
        <v/>
      </c>
      <c r="M238" s="947" t="str">
        <f t="shared" ca="1" si="55"/>
        <v/>
      </c>
    </row>
    <row r="239" spans="1:13" ht="15" customHeight="1" x14ac:dyDescent="0.15">
      <c r="A239" s="26"/>
      <c r="B239" s="945" t="str">
        <f t="shared" ca="1" si="50"/>
        <v/>
      </c>
      <c r="C239" s="946" t="str">
        <f t="shared" ca="1" si="54"/>
        <v/>
      </c>
      <c r="D239" s="946" t="str">
        <f t="shared" ca="1" si="51"/>
        <v/>
      </c>
      <c r="E239" s="946" t="str">
        <f t="shared" ca="1" si="52"/>
        <v/>
      </c>
      <c r="F239" s="947" t="str">
        <f t="shared" ca="1" si="53"/>
        <v/>
      </c>
      <c r="G239" s="947" t="str">
        <f t="shared" ca="1" si="55"/>
        <v/>
      </c>
      <c r="H239" s="947" t="str">
        <f t="shared" ca="1" si="55"/>
        <v/>
      </c>
      <c r="I239" s="947" t="str">
        <f t="shared" ca="1" si="55"/>
        <v/>
      </c>
      <c r="J239" s="947" t="str">
        <f t="shared" ca="1" si="55"/>
        <v/>
      </c>
      <c r="K239" s="947" t="str">
        <f t="shared" ca="1" si="55"/>
        <v/>
      </c>
      <c r="L239" s="947" t="str">
        <f t="shared" ca="1" si="55"/>
        <v/>
      </c>
      <c r="M239" s="947" t="str">
        <f t="shared" ca="1" si="55"/>
        <v/>
      </c>
    </row>
    <row r="240" spans="1:13" ht="15" customHeight="1" x14ac:dyDescent="0.15">
      <c r="A240" s="26"/>
      <c r="B240" s="945" t="str">
        <f t="shared" ca="1" si="50"/>
        <v/>
      </c>
      <c r="C240" s="946" t="str">
        <f t="shared" ca="1" si="54"/>
        <v/>
      </c>
      <c r="D240" s="946" t="str">
        <f t="shared" ca="1" si="51"/>
        <v/>
      </c>
      <c r="E240" s="946" t="str">
        <f t="shared" ca="1" si="52"/>
        <v/>
      </c>
      <c r="F240" s="947" t="str">
        <f t="shared" ca="1" si="53"/>
        <v/>
      </c>
      <c r="G240" s="947" t="str">
        <f t="shared" ca="1" si="55"/>
        <v/>
      </c>
      <c r="H240" s="947" t="str">
        <f t="shared" ca="1" si="55"/>
        <v/>
      </c>
      <c r="I240" s="947" t="str">
        <f t="shared" ca="1" si="55"/>
        <v/>
      </c>
      <c r="J240" s="947" t="str">
        <f t="shared" ca="1" si="55"/>
        <v/>
      </c>
      <c r="K240" s="947" t="str">
        <f t="shared" ca="1" si="55"/>
        <v/>
      </c>
      <c r="L240" s="947" t="str">
        <f t="shared" ca="1" si="55"/>
        <v/>
      </c>
      <c r="M240" s="947" t="str">
        <f t="shared" ca="1" si="55"/>
        <v/>
      </c>
    </row>
    <row r="241" spans="1:27" ht="15" customHeight="1" x14ac:dyDescent="0.15">
      <c r="A241" s="26"/>
      <c r="B241" s="945" t="str">
        <f ca="1">IFERROR(IF(BB247= "", IF(ISBLANK(INDIRECT(C241 &amp;"!$" &amp;INDEX($AC$194:$AC$217, MATCH(C241, $Z$194:$Z$204, 0))&amp;  D241)), "", INDIRECT(C241 &amp;"!$" &amp;INDEX($AC$194:$AC$217, MATCH(C241, $Z$194:$Z$204, 0))&amp;  D241)), INDIRECT(C241 &amp;"!$" &amp;DD247&amp;  D241)), "")</f>
        <v/>
      </c>
      <c r="C241" s="946" t="str">
        <f ca="1">IFERROR(IF(ROW(E241) - ROW($E$196) &gt; INDEX($AE$194:$AE$219, MATCH(C240, $Z$194:$Z$204, 0)), INDEX($Z$194:$Z$204, MATCH(C240, $Z$194:$Z$204, 0) + 1), C240), "")</f>
        <v/>
      </c>
      <c r="D241" s="946" t="str">
        <f ca="1">IFERROR(MATCH("x",INDIRECT(C241&amp;"!$"&amp;INDEX($AB$194:$AB$217,MATCH(C241,$Z$194:$Z$204,0))&amp;IF(NOT(C241=C240),1,D240+1)&amp;":$"&amp;INDEX($AB$194:$AB$217,MATCH(C241,$Z$194:$Z$204,0))&amp;"20000"),0)+IF(NOT(C241=C240),0,D240), "")</f>
        <v/>
      </c>
      <c r="E241" s="946" t="str">
        <f ca="1">IFERROR(INDEX( $AF$194:$AF$209,MATCH(C241, $Z$194:$Z$208, 0)), "")</f>
        <v/>
      </c>
      <c r="F241" s="947" t="str">
        <f ca="1">IFERROR(IF(NOT(E241 = 1), "",  IF(ISBLANK(INDIRECT(C241 &amp;"!$" &amp;INDEX($AD$194:$AD$217, MATCH(C241, $Z$194:$Z$204, 0))&amp;  D241)), "",INDIRECT(C241 &amp;"!$" &amp;INDEX($AD$194:$AD$217, MATCH(C241, $Z$194:$Z$204, 0))&amp;  D241))),  "")</f>
        <v/>
      </c>
      <c r="G241" s="947" t="str">
        <f t="shared" ca="1" si="55"/>
        <v/>
      </c>
      <c r="H241" s="947" t="str">
        <f t="shared" ca="1" si="55"/>
        <v/>
      </c>
      <c r="I241" s="947" t="str">
        <f t="shared" ca="1" si="55"/>
        <v/>
      </c>
      <c r="J241" s="947" t="str">
        <f t="shared" ca="1" si="55"/>
        <v/>
      </c>
      <c r="K241" s="947" t="str">
        <f t="shared" ca="1" si="55"/>
        <v/>
      </c>
      <c r="L241" s="947" t="str">
        <f t="shared" ca="1" si="55"/>
        <v/>
      </c>
      <c r="M241" s="947" t="str">
        <f t="shared" ca="1" si="55"/>
        <v/>
      </c>
    </row>
    <row r="242" spans="1:27" ht="15" customHeight="1" x14ac:dyDescent="0.15">
      <c r="A242" s="26"/>
      <c r="B242" s="945" t="str">
        <f t="shared" ca="1" si="50"/>
        <v/>
      </c>
      <c r="C242" s="946" t="str">
        <f t="shared" ca="1" si="54"/>
        <v/>
      </c>
      <c r="D242" s="946" t="str">
        <f t="shared" ca="1" si="51"/>
        <v/>
      </c>
      <c r="E242" s="946" t="str">
        <f t="shared" ca="1" si="52"/>
        <v/>
      </c>
      <c r="F242" s="947" t="str">
        <f t="shared" ca="1" si="53"/>
        <v/>
      </c>
      <c r="G242" s="947" t="str">
        <f t="shared" ca="1" si="55"/>
        <v/>
      </c>
      <c r="H242" s="947" t="str">
        <f t="shared" ca="1" si="55"/>
        <v/>
      </c>
      <c r="I242" s="947" t="str">
        <f t="shared" ca="1" si="55"/>
        <v/>
      </c>
      <c r="J242" s="947" t="str">
        <f t="shared" ca="1" si="55"/>
        <v/>
      </c>
      <c r="K242" s="947" t="str">
        <f t="shared" ca="1" si="55"/>
        <v/>
      </c>
      <c r="L242" s="947" t="str">
        <f t="shared" ca="1" si="55"/>
        <v/>
      </c>
      <c r="M242" s="947" t="str">
        <f t="shared" ca="1" si="55"/>
        <v/>
      </c>
    </row>
    <row r="243" spans="1:27" ht="15" customHeight="1" x14ac:dyDescent="0.15">
      <c r="A243" s="26"/>
      <c r="B243" s="945" t="str">
        <f t="shared" ca="1" si="50"/>
        <v/>
      </c>
      <c r="C243" s="946" t="str">
        <f t="shared" ca="1" si="54"/>
        <v/>
      </c>
      <c r="D243" s="946" t="str">
        <f t="shared" ca="1" si="51"/>
        <v/>
      </c>
      <c r="E243" s="946" t="str">
        <f t="shared" ca="1" si="52"/>
        <v/>
      </c>
      <c r="F243" s="947" t="str">
        <f t="shared" ca="1" si="53"/>
        <v/>
      </c>
      <c r="G243" s="947" t="str">
        <f t="shared" ca="1" si="55"/>
        <v/>
      </c>
      <c r="H243" s="947" t="str">
        <f t="shared" ca="1" si="55"/>
        <v/>
      </c>
      <c r="I243" s="947" t="str">
        <f t="shared" ca="1" si="55"/>
        <v/>
      </c>
      <c r="J243" s="947" t="str">
        <f t="shared" ca="1" si="55"/>
        <v/>
      </c>
      <c r="K243" s="947" t="str">
        <f t="shared" ca="1" si="55"/>
        <v/>
      </c>
      <c r="L243" s="947" t="str">
        <f t="shared" ca="1" si="55"/>
        <v/>
      </c>
      <c r="M243" s="947" t="str">
        <f t="shared" ca="1" si="55"/>
        <v/>
      </c>
    </row>
    <row r="244" spans="1:27" ht="15" customHeight="1" x14ac:dyDescent="0.15">
      <c r="A244" s="26"/>
      <c r="B244" s="945" t="str">
        <f t="shared" ca="1" si="50"/>
        <v/>
      </c>
      <c r="C244" s="946" t="str">
        <f t="shared" ca="1" si="54"/>
        <v/>
      </c>
      <c r="D244" s="946" t="str">
        <f t="shared" ca="1" si="51"/>
        <v/>
      </c>
      <c r="E244" s="946" t="str">
        <f t="shared" ca="1" si="52"/>
        <v/>
      </c>
      <c r="F244" s="947" t="str">
        <f t="shared" ca="1" si="53"/>
        <v/>
      </c>
      <c r="G244" s="947" t="str">
        <f t="shared" ca="1" si="55"/>
        <v/>
      </c>
      <c r="H244" s="947" t="str">
        <f t="shared" ca="1" si="55"/>
        <v/>
      </c>
      <c r="I244" s="947" t="str">
        <f t="shared" ca="1" si="55"/>
        <v/>
      </c>
      <c r="J244" s="947" t="str">
        <f t="shared" ca="1" si="55"/>
        <v/>
      </c>
      <c r="K244" s="947" t="str">
        <f t="shared" ca="1" si="55"/>
        <v/>
      </c>
      <c r="L244" s="947" t="str">
        <f t="shared" ca="1" si="55"/>
        <v/>
      </c>
      <c r="M244" s="947" t="str">
        <f t="shared" ca="1" si="55"/>
        <v/>
      </c>
    </row>
    <row r="245" spans="1:27" ht="15" customHeight="1" x14ac:dyDescent="0.15">
      <c r="A245" s="26"/>
      <c r="B245" s="945" t="str">
        <f t="shared" ca="1" si="50"/>
        <v/>
      </c>
      <c r="C245" s="946" t="str">
        <f t="shared" ca="1" si="54"/>
        <v/>
      </c>
      <c r="D245" s="946" t="str">
        <f t="shared" ca="1" si="51"/>
        <v/>
      </c>
      <c r="E245" s="946" t="str">
        <f t="shared" ca="1" si="52"/>
        <v/>
      </c>
      <c r="F245" s="947" t="str">
        <f t="shared" ca="1" si="53"/>
        <v/>
      </c>
      <c r="G245" s="947" t="str">
        <f t="shared" ca="1" si="55"/>
        <v/>
      </c>
      <c r="H245" s="947" t="str">
        <f t="shared" ca="1" si="55"/>
        <v/>
      </c>
      <c r="I245" s="947" t="str">
        <f t="shared" ca="1" si="55"/>
        <v/>
      </c>
      <c r="J245" s="947" t="str">
        <f t="shared" ca="1" si="55"/>
        <v/>
      </c>
      <c r="K245" s="947" t="str">
        <f t="shared" ca="1" si="55"/>
        <v/>
      </c>
      <c r="L245" s="947" t="str">
        <f t="shared" ca="1" si="55"/>
        <v/>
      </c>
      <c r="M245" s="947" t="str">
        <f t="shared" ca="1" si="55"/>
        <v/>
      </c>
      <c r="U245" s="95"/>
      <c r="V245" s="95"/>
      <c r="W245" s="95"/>
    </row>
    <row r="246" spans="1:27" ht="15" customHeight="1" x14ac:dyDescent="0.15">
      <c r="A246" s="26"/>
      <c r="B246" s="945" t="str">
        <f t="shared" ca="1" si="50"/>
        <v/>
      </c>
      <c r="C246" s="946" t="str">
        <f t="shared" ca="1" si="54"/>
        <v/>
      </c>
      <c r="D246" s="946" t="str">
        <f t="shared" ca="1" si="51"/>
        <v/>
      </c>
      <c r="E246" s="946" t="str">
        <f t="shared" ca="1" si="52"/>
        <v/>
      </c>
      <c r="F246" s="947" t="str">
        <f t="shared" ca="1" si="53"/>
        <v/>
      </c>
      <c r="G246" s="947" t="str">
        <f t="shared" ref="G246:M255" ca="1" si="56">IFERROR(IF(NOT($E246 = 7), "",INDIRECT($C246 &amp;"!" &amp;ADDRESS($D246,  COLUMN(INDIRECT(INDEX($AD$194:$AD$217, MATCH($C246, $Z$194:$Z$204, 0)) &amp; $D246)) +  G$195 - 1))), "")</f>
        <v/>
      </c>
      <c r="H246" s="947" t="str">
        <f t="shared" ca="1" si="56"/>
        <v/>
      </c>
      <c r="I246" s="947" t="str">
        <f t="shared" ca="1" si="56"/>
        <v/>
      </c>
      <c r="J246" s="947" t="str">
        <f t="shared" ca="1" si="56"/>
        <v/>
      </c>
      <c r="K246" s="947" t="str">
        <f t="shared" ca="1" si="56"/>
        <v/>
      </c>
      <c r="L246" s="947" t="str">
        <f t="shared" ca="1" si="56"/>
        <v/>
      </c>
      <c r="M246" s="947" t="str">
        <f t="shared" ca="1" si="56"/>
        <v/>
      </c>
      <c r="U246" s="95"/>
      <c r="V246" s="95"/>
      <c r="W246" s="95"/>
      <c r="X246" s="95"/>
      <c r="Y246" s="95"/>
      <c r="Z246" s="95"/>
      <c r="AA246" s="95"/>
    </row>
    <row r="247" spans="1:27" ht="15" customHeight="1" x14ac:dyDescent="0.15">
      <c r="A247" s="26"/>
      <c r="B247" s="945" t="str">
        <f t="shared" ca="1" si="50"/>
        <v/>
      </c>
      <c r="C247" s="946" t="str">
        <f t="shared" ca="1" si="54"/>
        <v/>
      </c>
      <c r="D247" s="946" t="str">
        <f t="shared" ca="1" si="51"/>
        <v/>
      </c>
      <c r="E247" s="946" t="str">
        <f t="shared" ca="1" si="52"/>
        <v/>
      </c>
      <c r="F247" s="947" t="str">
        <f t="shared" ca="1" si="53"/>
        <v/>
      </c>
      <c r="G247" s="947" t="str">
        <f t="shared" ca="1" si="56"/>
        <v/>
      </c>
      <c r="H247" s="947" t="str">
        <f t="shared" ca="1" si="56"/>
        <v/>
      </c>
      <c r="I247" s="947" t="str">
        <f t="shared" ca="1" si="56"/>
        <v/>
      </c>
      <c r="J247" s="947" t="str">
        <f t="shared" ca="1" si="56"/>
        <v/>
      </c>
      <c r="K247" s="947" t="str">
        <f t="shared" ca="1" si="56"/>
        <v/>
      </c>
      <c r="L247" s="947" t="str">
        <f t="shared" ca="1" si="56"/>
        <v/>
      </c>
      <c r="M247" s="947" t="str">
        <f t="shared" ca="1" si="56"/>
        <v/>
      </c>
      <c r="U247" s="95"/>
      <c r="V247" s="95"/>
      <c r="W247" s="95"/>
      <c r="X247" s="95"/>
      <c r="Y247" s="95"/>
      <c r="Z247" s="95"/>
      <c r="AA247" s="95"/>
    </row>
    <row r="248" spans="1:27" ht="15" customHeight="1" x14ac:dyDescent="0.15">
      <c r="A248" s="26"/>
      <c r="B248" s="945" t="str">
        <f t="shared" ca="1" si="50"/>
        <v/>
      </c>
      <c r="C248" s="946" t="str">
        <f t="shared" ca="1" si="54"/>
        <v/>
      </c>
      <c r="D248" s="946" t="str">
        <f t="shared" ca="1" si="51"/>
        <v/>
      </c>
      <c r="E248" s="946" t="str">
        <f t="shared" ca="1" si="52"/>
        <v/>
      </c>
      <c r="F248" s="947" t="str">
        <f t="shared" ca="1" si="53"/>
        <v/>
      </c>
      <c r="G248" s="947" t="str">
        <f t="shared" ca="1" si="56"/>
        <v/>
      </c>
      <c r="H248" s="947" t="str">
        <f t="shared" ca="1" si="56"/>
        <v/>
      </c>
      <c r="I248" s="947" t="str">
        <f t="shared" ca="1" si="56"/>
        <v/>
      </c>
      <c r="J248" s="947" t="str">
        <f t="shared" ca="1" si="56"/>
        <v/>
      </c>
      <c r="K248" s="947" t="str">
        <f t="shared" ca="1" si="56"/>
        <v/>
      </c>
      <c r="L248" s="947" t="str">
        <f t="shared" ca="1" si="56"/>
        <v/>
      </c>
      <c r="M248" s="947" t="str">
        <f t="shared" ca="1" si="56"/>
        <v/>
      </c>
      <c r="U248" s="95"/>
      <c r="V248" s="95"/>
      <c r="W248" s="95"/>
      <c r="X248" s="95"/>
      <c r="Y248" s="95"/>
      <c r="Z248" s="95"/>
      <c r="AA248" s="95"/>
    </row>
    <row r="249" spans="1:27" ht="15" customHeight="1" x14ac:dyDescent="0.15">
      <c r="A249" s="26"/>
      <c r="B249" s="945" t="str">
        <f t="shared" ca="1" si="50"/>
        <v/>
      </c>
      <c r="C249" s="946" t="str">
        <f t="shared" ca="1" si="54"/>
        <v/>
      </c>
      <c r="D249" s="946" t="str">
        <f t="shared" ca="1" si="51"/>
        <v/>
      </c>
      <c r="E249" s="946" t="str">
        <f t="shared" ca="1" si="52"/>
        <v/>
      </c>
      <c r="F249" s="947" t="str">
        <f t="shared" ca="1" si="53"/>
        <v/>
      </c>
      <c r="G249" s="947" t="str">
        <f t="shared" ca="1" si="56"/>
        <v/>
      </c>
      <c r="H249" s="947" t="str">
        <f t="shared" ca="1" si="56"/>
        <v/>
      </c>
      <c r="I249" s="947" t="str">
        <f t="shared" ca="1" si="56"/>
        <v/>
      </c>
      <c r="J249" s="947" t="str">
        <f t="shared" ca="1" si="56"/>
        <v/>
      </c>
      <c r="K249" s="947" t="str">
        <f t="shared" ca="1" si="56"/>
        <v/>
      </c>
      <c r="L249" s="947" t="str">
        <f t="shared" ca="1" si="56"/>
        <v/>
      </c>
      <c r="M249" s="947" t="str">
        <f t="shared" ca="1" si="56"/>
        <v/>
      </c>
      <c r="O249" s="26"/>
      <c r="T249" s="26"/>
      <c r="U249" s="105"/>
      <c r="V249" s="105"/>
      <c r="W249" s="105"/>
      <c r="X249" s="95"/>
      <c r="Y249" s="95"/>
      <c r="Z249" s="95"/>
      <c r="AA249" s="95"/>
    </row>
    <row r="250" spans="1:27" ht="15" customHeight="1" x14ac:dyDescent="0.15">
      <c r="A250" s="26"/>
      <c r="B250" s="945" t="str">
        <f t="shared" ca="1" si="50"/>
        <v/>
      </c>
      <c r="C250" s="946" t="str">
        <f t="shared" ca="1" si="54"/>
        <v/>
      </c>
      <c r="D250" s="946" t="str">
        <f t="shared" ca="1" si="51"/>
        <v/>
      </c>
      <c r="E250" s="946" t="str">
        <f t="shared" ca="1" si="52"/>
        <v/>
      </c>
      <c r="F250" s="947" t="str">
        <f t="shared" ca="1" si="53"/>
        <v/>
      </c>
      <c r="G250" s="947" t="str">
        <f t="shared" ca="1" si="56"/>
        <v/>
      </c>
      <c r="H250" s="947" t="str">
        <f t="shared" ca="1" si="56"/>
        <v/>
      </c>
      <c r="I250" s="947" t="str">
        <f t="shared" ca="1" si="56"/>
        <v/>
      </c>
      <c r="J250" s="947" t="str">
        <f t="shared" ca="1" si="56"/>
        <v/>
      </c>
      <c r="K250" s="947" t="str">
        <f t="shared" ca="1" si="56"/>
        <v/>
      </c>
      <c r="L250" s="947" t="str">
        <f t="shared" ca="1" si="56"/>
        <v/>
      </c>
      <c r="M250" s="947" t="str">
        <f t="shared" ca="1" si="56"/>
        <v/>
      </c>
      <c r="T250" s="26"/>
      <c r="U250" s="104"/>
      <c r="V250" s="104"/>
      <c r="W250" s="104"/>
      <c r="X250" s="105"/>
      <c r="Y250" s="105"/>
      <c r="Z250" s="105"/>
      <c r="AA250" s="105"/>
    </row>
    <row r="251" spans="1:27" ht="15" customHeight="1" x14ac:dyDescent="0.15">
      <c r="A251" s="26"/>
      <c r="B251" s="945" t="str">
        <f t="shared" ca="1" si="50"/>
        <v/>
      </c>
      <c r="C251" s="946" t="str">
        <f t="shared" ca="1" si="54"/>
        <v/>
      </c>
      <c r="D251" s="946" t="str">
        <f t="shared" ca="1" si="51"/>
        <v/>
      </c>
      <c r="E251" s="946" t="str">
        <f t="shared" ca="1" si="52"/>
        <v/>
      </c>
      <c r="F251" s="947" t="str">
        <f t="shared" ca="1" si="53"/>
        <v/>
      </c>
      <c r="G251" s="947" t="str">
        <f t="shared" ca="1" si="56"/>
        <v/>
      </c>
      <c r="H251" s="947" t="str">
        <f t="shared" ca="1" si="56"/>
        <v/>
      </c>
      <c r="I251" s="947" t="str">
        <f t="shared" ca="1" si="56"/>
        <v/>
      </c>
      <c r="J251" s="947" t="str">
        <f t="shared" ca="1" si="56"/>
        <v/>
      </c>
      <c r="K251" s="947" t="str">
        <f t="shared" ca="1" si="56"/>
        <v/>
      </c>
      <c r="L251" s="947" t="str">
        <f t="shared" ca="1" si="56"/>
        <v/>
      </c>
      <c r="M251" s="947" t="str">
        <f t="shared" ca="1" si="56"/>
        <v/>
      </c>
      <c r="N251" s="127"/>
      <c r="T251" s="26"/>
      <c r="U251" s="104"/>
      <c r="V251" s="104"/>
      <c r="W251" s="104"/>
      <c r="X251" s="104"/>
      <c r="Y251" s="104"/>
      <c r="Z251" s="104"/>
      <c r="AA251" s="104"/>
    </row>
    <row r="252" spans="1:27" ht="15" customHeight="1" x14ac:dyDescent="0.15">
      <c r="A252" s="26"/>
      <c r="B252" s="945" t="str">
        <f t="shared" ca="1" si="50"/>
        <v/>
      </c>
      <c r="C252" s="946" t="str">
        <f t="shared" ca="1" si="54"/>
        <v/>
      </c>
      <c r="D252" s="946" t="str">
        <f t="shared" ca="1" si="51"/>
        <v/>
      </c>
      <c r="E252" s="946" t="str">
        <f t="shared" ca="1" si="52"/>
        <v/>
      </c>
      <c r="F252" s="947" t="str">
        <f t="shared" ca="1" si="53"/>
        <v/>
      </c>
      <c r="G252" s="947" t="str">
        <f t="shared" ca="1" si="56"/>
        <v/>
      </c>
      <c r="H252" s="947" t="str">
        <f t="shared" ca="1" si="56"/>
        <v/>
      </c>
      <c r="I252" s="947" t="str">
        <f t="shared" ca="1" si="56"/>
        <v/>
      </c>
      <c r="J252" s="947" t="str">
        <f t="shared" ca="1" si="56"/>
        <v/>
      </c>
      <c r="K252" s="947" t="str">
        <f t="shared" ca="1" si="56"/>
        <v/>
      </c>
      <c r="L252" s="947" t="str">
        <f t="shared" ca="1" si="56"/>
        <v/>
      </c>
      <c r="M252" s="947" t="str">
        <f t="shared" ca="1" si="56"/>
        <v/>
      </c>
      <c r="T252" s="26"/>
      <c r="U252" s="104"/>
      <c r="V252" s="104"/>
      <c r="W252" s="104"/>
      <c r="X252" s="104"/>
      <c r="Y252" s="104"/>
      <c r="Z252" s="104"/>
      <c r="AA252" s="104"/>
    </row>
    <row r="253" spans="1:27" ht="15" customHeight="1" x14ac:dyDescent="0.15">
      <c r="A253" s="26"/>
      <c r="B253" s="945" t="str">
        <f t="shared" ca="1" si="50"/>
        <v/>
      </c>
      <c r="C253" s="946" t="str">
        <f t="shared" ca="1" si="54"/>
        <v/>
      </c>
      <c r="D253" s="946" t="str">
        <f t="shared" ca="1" si="51"/>
        <v/>
      </c>
      <c r="E253" s="946" t="str">
        <f t="shared" ca="1" si="52"/>
        <v/>
      </c>
      <c r="F253" s="947" t="str">
        <f t="shared" ca="1" si="53"/>
        <v/>
      </c>
      <c r="G253" s="947" t="str">
        <f t="shared" ca="1" si="56"/>
        <v/>
      </c>
      <c r="H253" s="947" t="str">
        <f t="shared" ca="1" si="56"/>
        <v/>
      </c>
      <c r="I253" s="947" t="str">
        <f t="shared" ca="1" si="56"/>
        <v/>
      </c>
      <c r="J253" s="947" t="str">
        <f t="shared" ca="1" si="56"/>
        <v/>
      </c>
      <c r="K253" s="947" t="str">
        <f t="shared" ca="1" si="56"/>
        <v/>
      </c>
      <c r="L253" s="947" t="str">
        <f t="shared" ca="1" si="56"/>
        <v/>
      </c>
      <c r="M253" s="947" t="str">
        <f t="shared" ca="1" si="56"/>
        <v/>
      </c>
      <c r="T253" s="26"/>
      <c r="U253" s="104"/>
      <c r="V253" s="104"/>
      <c r="W253" s="104"/>
      <c r="X253" s="104"/>
      <c r="Y253" s="104"/>
      <c r="Z253" s="104"/>
      <c r="AA253" s="104"/>
    </row>
    <row r="254" spans="1:27" ht="15" customHeight="1" x14ac:dyDescent="0.15">
      <c r="A254" s="26"/>
      <c r="B254" s="945" t="str">
        <f t="shared" ca="1" si="50"/>
        <v/>
      </c>
      <c r="C254" s="946" t="str">
        <f t="shared" ca="1" si="54"/>
        <v/>
      </c>
      <c r="D254" s="946" t="str">
        <f t="shared" ca="1" si="51"/>
        <v/>
      </c>
      <c r="E254" s="946" t="str">
        <f t="shared" ca="1" si="52"/>
        <v/>
      </c>
      <c r="F254" s="947" t="str">
        <f t="shared" ca="1" si="53"/>
        <v/>
      </c>
      <c r="G254" s="947" t="str">
        <f t="shared" ca="1" si="56"/>
        <v/>
      </c>
      <c r="H254" s="947" t="str">
        <f t="shared" ca="1" si="56"/>
        <v/>
      </c>
      <c r="I254" s="947" t="str">
        <f t="shared" ca="1" si="56"/>
        <v/>
      </c>
      <c r="J254" s="947" t="str">
        <f t="shared" ca="1" si="56"/>
        <v/>
      </c>
      <c r="K254" s="947" t="str">
        <f t="shared" ca="1" si="56"/>
        <v/>
      </c>
      <c r="L254" s="947" t="str">
        <f t="shared" ca="1" si="56"/>
        <v/>
      </c>
      <c r="M254" s="947" t="str">
        <f t="shared" ca="1" si="56"/>
        <v/>
      </c>
      <c r="T254" s="26"/>
      <c r="U254" s="104"/>
      <c r="V254" s="104"/>
      <c r="W254" s="104"/>
      <c r="X254" s="104"/>
      <c r="Y254" s="104"/>
      <c r="Z254" s="104"/>
      <c r="AA254" s="104"/>
    </row>
    <row r="255" spans="1:27" ht="15" customHeight="1" x14ac:dyDescent="0.15">
      <c r="A255" s="26"/>
      <c r="B255" s="945" t="str">
        <f t="shared" ca="1" si="50"/>
        <v/>
      </c>
      <c r="C255" s="946" t="str">
        <f t="shared" ca="1" si="54"/>
        <v/>
      </c>
      <c r="D255" s="946" t="str">
        <f t="shared" ca="1" si="51"/>
        <v/>
      </c>
      <c r="E255" s="946" t="str">
        <f t="shared" ca="1" si="52"/>
        <v/>
      </c>
      <c r="F255" s="947" t="str">
        <f t="shared" ca="1" si="53"/>
        <v/>
      </c>
      <c r="G255" s="947" t="str">
        <f t="shared" ca="1" si="56"/>
        <v/>
      </c>
      <c r="H255" s="947" t="str">
        <f t="shared" ca="1" si="56"/>
        <v/>
      </c>
      <c r="I255" s="947" t="str">
        <f t="shared" ca="1" si="56"/>
        <v/>
      </c>
      <c r="J255" s="947" t="str">
        <f t="shared" ca="1" si="56"/>
        <v/>
      </c>
      <c r="K255" s="947" t="str">
        <f t="shared" ca="1" si="56"/>
        <v/>
      </c>
      <c r="L255" s="947" t="str">
        <f t="shared" ca="1" si="56"/>
        <v/>
      </c>
      <c r="M255" s="947" t="str">
        <f t="shared" ca="1" si="56"/>
        <v/>
      </c>
      <c r="T255" s="26"/>
      <c r="U255" s="104"/>
      <c r="V255" s="104"/>
      <c r="W255" s="104"/>
      <c r="X255" s="104"/>
      <c r="Y255" s="104"/>
      <c r="Z255" s="104"/>
      <c r="AA255" s="104"/>
    </row>
    <row r="256" spans="1:27" ht="15" customHeight="1" x14ac:dyDescent="0.15">
      <c r="A256" s="26"/>
      <c r="B256" s="945" t="str">
        <f t="shared" ca="1" si="50"/>
        <v/>
      </c>
      <c r="C256" s="946" t="str">
        <f t="shared" ca="1" si="54"/>
        <v/>
      </c>
      <c r="D256" s="946" t="str">
        <f t="shared" ca="1" si="51"/>
        <v/>
      </c>
      <c r="E256" s="946" t="str">
        <f t="shared" ca="1" si="52"/>
        <v/>
      </c>
      <c r="F256" s="947" t="str">
        <f t="shared" ca="1" si="53"/>
        <v/>
      </c>
      <c r="G256" s="947" t="str">
        <f t="shared" ref="G256:M265" ca="1" si="57">IFERROR(IF(NOT($E256 = 7), "",INDIRECT($C256 &amp;"!" &amp;ADDRESS($D256,  COLUMN(INDIRECT(INDEX($AD$194:$AD$217, MATCH($C256, $Z$194:$Z$204, 0)) &amp; $D256)) +  G$195 - 1))), "")</f>
        <v/>
      </c>
      <c r="H256" s="947" t="str">
        <f t="shared" ca="1" si="57"/>
        <v/>
      </c>
      <c r="I256" s="947" t="str">
        <f t="shared" ca="1" si="57"/>
        <v/>
      </c>
      <c r="J256" s="947" t="str">
        <f t="shared" ca="1" si="57"/>
        <v/>
      </c>
      <c r="K256" s="947" t="str">
        <f t="shared" ca="1" si="57"/>
        <v/>
      </c>
      <c r="L256" s="947" t="str">
        <f t="shared" ca="1" si="57"/>
        <v/>
      </c>
      <c r="M256" s="947" t="str">
        <f t="shared" ca="1" si="57"/>
        <v/>
      </c>
      <c r="T256" s="26"/>
      <c r="U256" s="104"/>
      <c r="V256" s="104"/>
      <c r="W256" s="104"/>
      <c r="X256" s="104"/>
      <c r="Y256" s="104"/>
      <c r="Z256" s="104"/>
      <c r="AA256" s="104"/>
    </row>
    <row r="257" spans="1:27" ht="15" customHeight="1" x14ac:dyDescent="0.15">
      <c r="A257" s="26"/>
      <c r="B257" s="945" t="str">
        <f t="shared" ca="1" si="50"/>
        <v/>
      </c>
      <c r="C257" s="946" t="str">
        <f t="shared" ca="1" si="54"/>
        <v/>
      </c>
      <c r="D257" s="946" t="str">
        <f t="shared" ca="1" si="51"/>
        <v/>
      </c>
      <c r="E257" s="946" t="str">
        <f t="shared" ca="1" si="52"/>
        <v/>
      </c>
      <c r="F257" s="947" t="str">
        <f t="shared" ca="1" si="53"/>
        <v/>
      </c>
      <c r="G257" s="947" t="str">
        <f t="shared" ca="1" si="57"/>
        <v/>
      </c>
      <c r="H257" s="947" t="str">
        <f t="shared" ca="1" si="57"/>
        <v/>
      </c>
      <c r="I257" s="947" t="str">
        <f t="shared" ca="1" si="57"/>
        <v/>
      </c>
      <c r="J257" s="947" t="str">
        <f t="shared" ca="1" si="57"/>
        <v/>
      </c>
      <c r="K257" s="947" t="str">
        <f t="shared" ca="1" si="57"/>
        <v/>
      </c>
      <c r="L257" s="947" t="str">
        <f t="shared" ca="1" si="57"/>
        <v/>
      </c>
      <c r="M257" s="947" t="str">
        <f t="shared" ca="1" si="57"/>
        <v/>
      </c>
      <c r="O257" s="128"/>
      <c r="T257" s="26"/>
      <c r="U257" s="104"/>
      <c r="V257" s="104"/>
      <c r="W257" s="104"/>
      <c r="X257" s="104"/>
      <c r="Y257" s="104"/>
      <c r="Z257" s="104"/>
      <c r="AA257" s="104"/>
    </row>
    <row r="258" spans="1:27" ht="15" customHeight="1" x14ac:dyDescent="0.15">
      <c r="A258" s="26"/>
      <c r="B258" s="945" t="str">
        <f t="shared" ca="1" si="50"/>
        <v/>
      </c>
      <c r="C258" s="946" t="str">
        <f t="shared" ca="1" si="54"/>
        <v/>
      </c>
      <c r="D258" s="946" t="str">
        <f t="shared" ca="1" si="51"/>
        <v/>
      </c>
      <c r="E258" s="946" t="str">
        <f t="shared" ca="1" si="52"/>
        <v/>
      </c>
      <c r="F258" s="947" t="str">
        <f t="shared" ca="1" si="53"/>
        <v/>
      </c>
      <c r="G258" s="947" t="str">
        <f t="shared" ca="1" si="57"/>
        <v/>
      </c>
      <c r="H258" s="947" t="str">
        <f t="shared" ca="1" si="57"/>
        <v/>
      </c>
      <c r="I258" s="947" t="str">
        <f t="shared" ca="1" si="57"/>
        <v/>
      </c>
      <c r="J258" s="947" t="str">
        <f t="shared" ca="1" si="57"/>
        <v/>
      </c>
      <c r="K258" s="947" t="str">
        <f t="shared" ca="1" si="57"/>
        <v/>
      </c>
      <c r="L258" s="947" t="str">
        <f t="shared" ca="1" si="57"/>
        <v/>
      </c>
      <c r="M258" s="947" t="str">
        <f t="shared" ca="1" si="57"/>
        <v/>
      </c>
      <c r="O258" s="26"/>
      <c r="T258" s="26"/>
      <c r="U258" s="105"/>
      <c r="V258" s="105"/>
      <c r="W258" s="105"/>
      <c r="X258" s="104"/>
      <c r="Y258" s="104"/>
      <c r="Z258" s="104"/>
      <c r="AA258" s="104"/>
    </row>
    <row r="259" spans="1:27" ht="15" customHeight="1" x14ac:dyDescent="0.15">
      <c r="A259" s="26"/>
      <c r="B259" s="945" t="str">
        <f t="shared" ca="1" si="50"/>
        <v/>
      </c>
      <c r="C259" s="946" t="str">
        <f t="shared" ca="1" si="54"/>
        <v/>
      </c>
      <c r="D259" s="946" t="str">
        <f t="shared" ca="1" si="51"/>
        <v/>
      </c>
      <c r="E259" s="946" t="str">
        <f t="shared" ca="1" si="52"/>
        <v/>
      </c>
      <c r="F259" s="947" t="str">
        <f t="shared" ca="1" si="53"/>
        <v/>
      </c>
      <c r="G259" s="947" t="str">
        <f t="shared" ca="1" si="57"/>
        <v/>
      </c>
      <c r="H259" s="947" t="str">
        <f t="shared" ca="1" si="57"/>
        <v/>
      </c>
      <c r="I259" s="947" t="str">
        <f t="shared" ca="1" si="57"/>
        <v/>
      </c>
      <c r="J259" s="947" t="str">
        <f t="shared" ca="1" si="57"/>
        <v/>
      </c>
      <c r="K259" s="947" t="str">
        <f t="shared" ca="1" si="57"/>
        <v/>
      </c>
      <c r="L259" s="947" t="str">
        <f t="shared" ca="1" si="57"/>
        <v/>
      </c>
      <c r="M259" s="947" t="str">
        <f t="shared" ca="1" si="57"/>
        <v/>
      </c>
      <c r="T259" s="26"/>
      <c r="U259" s="104"/>
      <c r="V259" s="104"/>
      <c r="W259" s="104"/>
      <c r="X259" s="105"/>
      <c r="Y259" s="105"/>
      <c r="Z259" s="105"/>
      <c r="AA259" s="105"/>
    </row>
    <row r="260" spans="1:27" ht="15" customHeight="1" x14ac:dyDescent="0.15">
      <c r="A260" s="26"/>
      <c r="B260" s="945" t="str">
        <f t="shared" ref="B260:B291" ca="1" si="58">IFERROR(IF(BB266= "", IF(ISBLANK(INDIRECT(C260 &amp;"!$" &amp;INDEX($AC$194:$AC$217, MATCH(C260, $Z$194:$Z$204, 0))&amp;  D260)), "", INDIRECT(C260 &amp;"!$" &amp;INDEX($AC$194:$AC$217, MATCH(C260, $Z$194:$Z$204, 0))&amp;  D260)), INDIRECT(C260 &amp;"!$" &amp;DD266&amp;  D260)), "")</f>
        <v/>
      </c>
      <c r="C260" s="946" t="str">
        <f t="shared" ca="1" si="54"/>
        <v/>
      </c>
      <c r="D260" s="946" t="str">
        <f t="shared" ref="D260:D291" ca="1" si="59">IFERROR(MATCH("x",INDIRECT(C260&amp;"!$"&amp;INDEX($AB$194:$AB$217,MATCH(C260,$Z$194:$Z$204,0))&amp;IF(NOT(C260=C259),1,D259+1)&amp;":$"&amp;INDEX($AB$194:$AB$217,MATCH(C260,$Z$194:$Z$204,0))&amp;"20000"),0)+IF(NOT(C260=C259),0,D259), "")</f>
        <v/>
      </c>
      <c r="E260" s="946" t="str">
        <f t="shared" ref="E260:E291" ca="1" si="60">IFERROR(INDEX( $AF$194:$AF$209,MATCH(C260, $Z$194:$Z$208, 0)), "")</f>
        <v/>
      </c>
      <c r="F260" s="947" t="str">
        <f t="shared" ref="F260:F291" ca="1" si="61">IFERROR(IF(NOT(E260 = 1), "",  IF(ISBLANK(INDIRECT(C260 &amp;"!$" &amp;INDEX($AD$194:$AD$217, MATCH(C260, $Z$194:$Z$204, 0))&amp;  D260)), "",INDIRECT(C260 &amp;"!$" &amp;INDEX($AD$194:$AD$217, MATCH(C260, $Z$194:$Z$204, 0))&amp;  D260))),  "")</f>
        <v/>
      </c>
      <c r="G260" s="947" t="str">
        <f t="shared" ca="1" si="57"/>
        <v/>
      </c>
      <c r="H260" s="947" t="str">
        <f t="shared" ca="1" si="57"/>
        <v/>
      </c>
      <c r="I260" s="947" t="str">
        <f t="shared" ca="1" si="57"/>
        <v/>
      </c>
      <c r="J260" s="947" t="str">
        <f t="shared" ca="1" si="57"/>
        <v/>
      </c>
      <c r="K260" s="947" t="str">
        <f t="shared" ca="1" si="57"/>
        <v/>
      </c>
      <c r="L260" s="947" t="str">
        <f t="shared" ca="1" si="57"/>
        <v/>
      </c>
      <c r="M260" s="947" t="str">
        <f t="shared" ca="1" si="57"/>
        <v/>
      </c>
      <c r="T260" s="26"/>
      <c r="U260" s="104"/>
      <c r="V260" s="104"/>
      <c r="W260" s="104"/>
      <c r="X260" s="104"/>
      <c r="Y260" s="104"/>
      <c r="Z260" s="104"/>
      <c r="AA260" s="104"/>
    </row>
    <row r="261" spans="1:27" ht="15" customHeight="1" x14ac:dyDescent="0.15">
      <c r="A261" s="26"/>
      <c r="B261" s="945" t="str">
        <f t="shared" ca="1" si="58"/>
        <v/>
      </c>
      <c r="C261" s="946" t="str">
        <f t="shared" ref="C261:C292" ca="1" si="62">IFERROR(IF(ROW(E261) - ROW($E$196) &gt; INDEX($AE$194:$AE$219, MATCH(C260, $Z$194:$Z$204, 0)), INDEX($Z$194:$Z$204, MATCH(C260, $Z$194:$Z$204, 0) + 1), C260), "")</f>
        <v/>
      </c>
      <c r="D261" s="946" t="str">
        <f t="shared" ca="1" si="59"/>
        <v/>
      </c>
      <c r="E261" s="946" t="str">
        <f t="shared" ca="1" si="60"/>
        <v/>
      </c>
      <c r="F261" s="947" t="str">
        <f t="shared" ca="1" si="61"/>
        <v/>
      </c>
      <c r="G261" s="947" t="str">
        <f t="shared" ca="1" si="57"/>
        <v/>
      </c>
      <c r="H261" s="947" t="str">
        <f t="shared" ca="1" si="57"/>
        <v/>
      </c>
      <c r="I261" s="947" t="str">
        <f t="shared" ca="1" si="57"/>
        <v/>
      </c>
      <c r="J261" s="947" t="str">
        <f t="shared" ca="1" si="57"/>
        <v/>
      </c>
      <c r="K261" s="947" t="str">
        <f t="shared" ca="1" si="57"/>
        <v/>
      </c>
      <c r="L261" s="947" t="str">
        <f t="shared" ca="1" si="57"/>
        <v/>
      </c>
      <c r="M261" s="947" t="str">
        <f t="shared" ca="1" si="57"/>
        <v/>
      </c>
      <c r="T261" s="26"/>
      <c r="U261" s="104"/>
      <c r="V261" s="104"/>
      <c r="W261" s="104"/>
      <c r="X261" s="104"/>
      <c r="Y261" s="104"/>
      <c r="Z261" s="104"/>
      <c r="AA261" s="104"/>
    </row>
    <row r="262" spans="1:27" ht="15" customHeight="1" x14ac:dyDescent="0.15">
      <c r="A262" s="26"/>
      <c r="B262" s="945" t="str">
        <f t="shared" ca="1" si="58"/>
        <v/>
      </c>
      <c r="C262" s="946" t="str">
        <f t="shared" ca="1" si="62"/>
        <v/>
      </c>
      <c r="D262" s="946" t="str">
        <f t="shared" ca="1" si="59"/>
        <v/>
      </c>
      <c r="E262" s="946" t="str">
        <f t="shared" ca="1" si="60"/>
        <v/>
      </c>
      <c r="F262" s="947" t="str">
        <f t="shared" ca="1" si="61"/>
        <v/>
      </c>
      <c r="G262" s="947" t="str">
        <f t="shared" ca="1" si="57"/>
        <v/>
      </c>
      <c r="H262" s="947" t="str">
        <f t="shared" ca="1" si="57"/>
        <v/>
      </c>
      <c r="I262" s="947" t="str">
        <f t="shared" ca="1" si="57"/>
        <v/>
      </c>
      <c r="J262" s="947" t="str">
        <f t="shared" ca="1" si="57"/>
        <v/>
      </c>
      <c r="K262" s="947" t="str">
        <f t="shared" ca="1" si="57"/>
        <v/>
      </c>
      <c r="L262" s="947" t="str">
        <f t="shared" ca="1" si="57"/>
        <v/>
      </c>
      <c r="M262" s="947" t="str">
        <f t="shared" ca="1" si="57"/>
        <v/>
      </c>
      <c r="T262" s="26"/>
      <c r="U262" s="104"/>
      <c r="V262" s="104"/>
      <c r="W262" s="104"/>
      <c r="X262" s="104"/>
      <c r="Y262" s="104"/>
      <c r="Z262" s="104"/>
      <c r="AA262" s="104"/>
    </row>
    <row r="263" spans="1:27" ht="15" customHeight="1" x14ac:dyDescent="0.15">
      <c r="A263" s="26"/>
      <c r="B263" s="945" t="str">
        <f t="shared" ca="1" si="58"/>
        <v/>
      </c>
      <c r="C263" s="946" t="str">
        <f t="shared" ca="1" si="62"/>
        <v/>
      </c>
      <c r="D263" s="946" t="str">
        <f t="shared" ca="1" si="59"/>
        <v/>
      </c>
      <c r="E263" s="946" t="str">
        <f t="shared" ca="1" si="60"/>
        <v/>
      </c>
      <c r="F263" s="947" t="str">
        <f t="shared" ca="1" si="61"/>
        <v/>
      </c>
      <c r="G263" s="947" t="str">
        <f t="shared" ca="1" si="57"/>
        <v/>
      </c>
      <c r="H263" s="947" t="str">
        <f t="shared" ca="1" si="57"/>
        <v/>
      </c>
      <c r="I263" s="947" t="str">
        <f t="shared" ca="1" si="57"/>
        <v/>
      </c>
      <c r="J263" s="947" t="str">
        <f t="shared" ca="1" si="57"/>
        <v/>
      </c>
      <c r="K263" s="947" t="str">
        <f t="shared" ca="1" si="57"/>
        <v/>
      </c>
      <c r="L263" s="947" t="str">
        <f t="shared" ca="1" si="57"/>
        <v/>
      </c>
      <c r="M263" s="947" t="str">
        <f t="shared" ca="1" si="57"/>
        <v/>
      </c>
      <c r="T263" s="26"/>
      <c r="U263" s="104"/>
      <c r="V263" s="104"/>
      <c r="W263" s="104"/>
      <c r="X263" s="104"/>
      <c r="Y263" s="104"/>
      <c r="Z263" s="104"/>
      <c r="AA263" s="104"/>
    </row>
    <row r="264" spans="1:27" ht="15" customHeight="1" x14ac:dyDescent="0.15">
      <c r="A264" s="26"/>
      <c r="B264" s="945" t="str">
        <f t="shared" ca="1" si="58"/>
        <v/>
      </c>
      <c r="C264" s="946" t="str">
        <f t="shared" ca="1" si="62"/>
        <v/>
      </c>
      <c r="D264" s="946" t="str">
        <f t="shared" ca="1" si="59"/>
        <v/>
      </c>
      <c r="E264" s="946" t="str">
        <f t="shared" ca="1" si="60"/>
        <v/>
      </c>
      <c r="F264" s="947" t="str">
        <f t="shared" ca="1" si="61"/>
        <v/>
      </c>
      <c r="G264" s="947" t="str">
        <f t="shared" ca="1" si="57"/>
        <v/>
      </c>
      <c r="H264" s="947" t="str">
        <f t="shared" ca="1" si="57"/>
        <v/>
      </c>
      <c r="I264" s="947" t="str">
        <f t="shared" ca="1" si="57"/>
        <v/>
      </c>
      <c r="J264" s="947" t="str">
        <f t="shared" ca="1" si="57"/>
        <v/>
      </c>
      <c r="K264" s="947" t="str">
        <f t="shared" ca="1" si="57"/>
        <v/>
      </c>
      <c r="L264" s="947" t="str">
        <f t="shared" ca="1" si="57"/>
        <v/>
      </c>
      <c r="M264" s="947" t="str">
        <f t="shared" ca="1" si="57"/>
        <v/>
      </c>
      <c r="T264" s="26"/>
      <c r="U264" s="104"/>
      <c r="V264" s="104"/>
      <c r="W264" s="104"/>
      <c r="X264" s="104"/>
      <c r="Y264" s="104"/>
      <c r="Z264" s="104"/>
      <c r="AA264" s="104"/>
    </row>
    <row r="265" spans="1:27" ht="15" customHeight="1" x14ac:dyDescent="0.15">
      <c r="A265" s="26"/>
      <c r="B265" s="945" t="str">
        <f t="shared" ca="1" si="58"/>
        <v/>
      </c>
      <c r="C265" s="946" t="str">
        <f t="shared" ca="1" si="62"/>
        <v/>
      </c>
      <c r="D265" s="946" t="str">
        <f t="shared" ca="1" si="59"/>
        <v/>
      </c>
      <c r="E265" s="946" t="str">
        <f t="shared" ca="1" si="60"/>
        <v/>
      </c>
      <c r="F265" s="947" t="str">
        <f t="shared" ca="1" si="61"/>
        <v/>
      </c>
      <c r="G265" s="947" t="str">
        <f t="shared" ca="1" si="57"/>
        <v/>
      </c>
      <c r="H265" s="947" t="str">
        <f t="shared" ca="1" si="57"/>
        <v/>
      </c>
      <c r="I265" s="947" t="str">
        <f t="shared" ca="1" si="57"/>
        <v/>
      </c>
      <c r="J265" s="947" t="str">
        <f t="shared" ca="1" si="57"/>
        <v/>
      </c>
      <c r="K265" s="947" t="str">
        <f t="shared" ca="1" si="57"/>
        <v/>
      </c>
      <c r="L265" s="947" t="str">
        <f t="shared" ca="1" si="57"/>
        <v/>
      </c>
      <c r="M265" s="947" t="str">
        <f t="shared" ca="1" si="57"/>
        <v/>
      </c>
      <c r="T265" s="26"/>
      <c r="U265" s="104"/>
      <c r="V265" s="104"/>
      <c r="W265" s="104"/>
      <c r="X265" s="104"/>
      <c r="Y265" s="104"/>
      <c r="Z265" s="104"/>
      <c r="AA265" s="104"/>
    </row>
    <row r="266" spans="1:27" ht="15" customHeight="1" x14ac:dyDescent="0.15">
      <c r="A266" s="26"/>
      <c r="B266" s="945" t="str">
        <f t="shared" ca="1" si="58"/>
        <v/>
      </c>
      <c r="C266" s="946" t="str">
        <f t="shared" ca="1" si="62"/>
        <v/>
      </c>
      <c r="D266" s="946" t="str">
        <f t="shared" ca="1" si="59"/>
        <v/>
      </c>
      <c r="E266" s="946" t="str">
        <f t="shared" ca="1" si="60"/>
        <v/>
      </c>
      <c r="F266" s="947" t="str">
        <f t="shared" ca="1" si="61"/>
        <v/>
      </c>
      <c r="G266" s="947" t="str">
        <f t="shared" ref="G266:M275" ca="1" si="63">IFERROR(IF(NOT($E266 = 7), "",INDIRECT($C266 &amp;"!" &amp;ADDRESS($D266,  COLUMN(INDIRECT(INDEX($AD$194:$AD$217, MATCH($C266, $Z$194:$Z$204, 0)) &amp; $D266)) +  G$195 - 1))), "")</f>
        <v/>
      </c>
      <c r="H266" s="947" t="str">
        <f t="shared" ca="1" si="63"/>
        <v/>
      </c>
      <c r="I266" s="947" t="str">
        <f t="shared" ca="1" si="63"/>
        <v/>
      </c>
      <c r="J266" s="947" t="str">
        <f t="shared" ca="1" si="63"/>
        <v/>
      </c>
      <c r="K266" s="947" t="str">
        <f t="shared" ca="1" si="63"/>
        <v/>
      </c>
      <c r="L266" s="947" t="str">
        <f t="shared" ca="1" si="63"/>
        <v/>
      </c>
      <c r="M266" s="947" t="str">
        <f t="shared" ca="1" si="63"/>
        <v/>
      </c>
      <c r="O266" s="128"/>
      <c r="T266" s="26"/>
      <c r="U266" s="104"/>
      <c r="V266" s="104"/>
      <c r="W266" s="104"/>
      <c r="X266" s="104"/>
      <c r="Y266" s="104"/>
      <c r="Z266" s="104"/>
      <c r="AA266" s="104"/>
    </row>
    <row r="267" spans="1:27" ht="15" customHeight="1" x14ac:dyDescent="0.15">
      <c r="A267" s="26"/>
      <c r="B267" s="945" t="str">
        <f t="shared" ca="1" si="58"/>
        <v/>
      </c>
      <c r="C267" s="946" t="str">
        <f t="shared" ca="1" si="62"/>
        <v/>
      </c>
      <c r="D267" s="946" t="str">
        <f t="shared" ca="1" si="59"/>
        <v/>
      </c>
      <c r="E267" s="946" t="str">
        <f t="shared" ca="1" si="60"/>
        <v/>
      </c>
      <c r="F267" s="947" t="str">
        <f t="shared" ca="1" si="61"/>
        <v/>
      </c>
      <c r="G267" s="947" t="str">
        <f t="shared" ca="1" si="63"/>
        <v/>
      </c>
      <c r="H267" s="947" t="str">
        <f t="shared" ca="1" si="63"/>
        <v/>
      </c>
      <c r="I267" s="947" t="str">
        <f t="shared" ca="1" si="63"/>
        <v/>
      </c>
      <c r="J267" s="947" t="str">
        <f t="shared" ca="1" si="63"/>
        <v/>
      </c>
      <c r="K267" s="947" t="str">
        <f t="shared" ca="1" si="63"/>
        <v/>
      </c>
      <c r="L267" s="947" t="str">
        <f t="shared" ca="1" si="63"/>
        <v/>
      </c>
      <c r="M267" s="947" t="str">
        <f t="shared" ca="1" si="63"/>
        <v/>
      </c>
      <c r="O267" s="26"/>
      <c r="T267" s="26"/>
      <c r="U267" s="105"/>
      <c r="V267" s="105"/>
      <c r="W267" s="105"/>
      <c r="X267" s="104"/>
      <c r="Y267" s="104"/>
      <c r="Z267" s="104"/>
      <c r="AA267" s="104"/>
    </row>
    <row r="268" spans="1:27" ht="15" customHeight="1" x14ac:dyDescent="0.15">
      <c r="A268" s="26"/>
      <c r="B268" s="945" t="str">
        <f t="shared" ca="1" si="58"/>
        <v/>
      </c>
      <c r="C268" s="946" t="str">
        <f t="shared" ca="1" si="62"/>
        <v/>
      </c>
      <c r="D268" s="946" t="str">
        <f t="shared" ca="1" si="59"/>
        <v/>
      </c>
      <c r="E268" s="946" t="str">
        <f t="shared" ca="1" si="60"/>
        <v/>
      </c>
      <c r="F268" s="947" t="str">
        <f t="shared" ca="1" si="61"/>
        <v/>
      </c>
      <c r="G268" s="947" t="str">
        <f t="shared" ca="1" si="63"/>
        <v/>
      </c>
      <c r="H268" s="947" t="str">
        <f t="shared" ca="1" si="63"/>
        <v/>
      </c>
      <c r="I268" s="947" t="str">
        <f t="shared" ca="1" si="63"/>
        <v/>
      </c>
      <c r="J268" s="947" t="str">
        <f t="shared" ca="1" si="63"/>
        <v/>
      </c>
      <c r="K268" s="947" t="str">
        <f t="shared" ca="1" si="63"/>
        <v/>
      </c>
      <c r="L268" s="947" t="str">
        <f t="shared" ca="1" si="63"/>
        <v/>
      </c>
      <c r="M268" s="947" t="str">
        <f t="shared" ca="1" si="63"/>
        <v/>
      </c>
      <c r="T268" s="26"/>
      <c r="U268" s="104"/>
      <c r="V268" s="104"/>
      <c r="W268" s="104"/>
      <c r="X268" s="105"/>
      <c r="Y268" s="105"/>
      <c r="Z268" s="105"/>
      <c r="AA268" s="105"/>
    </row>
    <row r="269" spans="1:27" ht="15" customHeight="1" x14ac:dyDescent="0.15">
      <c r="A269" s="26"/>
      <c r="B269" s="945" t="str">
        <f t="shared" ca="1" si="58"/>
        <v/>
      </c>
      <c r="C269" s="946" t="str">
        <f t="shared" ca="1" si="62"/>
        <v/>
      </c>
      <c r="D269" s="946" t="str">
        <f t="shared" ca="1" si="59"/>
        <v/>
      </c>
      <c r="E269" s="946" t="str">
        <f t="shared" ca="1" si="60"/>
        <v/>
      </c>
      <c r="F269" s="947" t="str">
        <f t="shared" ca="1" si="61"/>
        <v/>
      </c>
      <c r="G269" s="947" t="str">
        <f t="shared" ca="1" si="63"/>
        <v/>
      </c>
      <c r="H269" s="947" t="str">
        <f t="shared" ca="1" si="63"/>
        <v/>
      </c>
      <c r="I269" s="947" t="str">
        <f t="shared" ca="1" si="63"/>
        <v/>
      </c>
      <c r="J269" s="947" t="str">
        <f t="shared" ca="1" si="63"/>
        <v/>
      </c>
      <c r="K269" s="947" t="str">
        <f t="shared" ca="1" si="63"/>
        <v/>
      </c>
      <c r="L269" s="947" t="str">
        <f t="shared" ca="1" si="63"/>
        <v/>
      </c>
      <c r="M269" s="947" t="str">
        <f t="shared" ca="1" si="63"/>
        <v/>
      </c>
      <c r="T269" s="26"/>
      <c r="U269" s="104"/>
      <c r="V269" s="104"/>
      <c r="W269" s="104"/>
      <c r="X269" s="104"/>
      <c r="Y269" s="104"/>
      <c r="Z269" s="104"/>
      <c r="AA269" s="104"/>
    </row>
    <row r="270" spans="1:27" ht="15" customHeight="1" x14ac:dyDescent="0.15">
      <c r="A270" s="26"/>
      <c r="B270" s="945" t="str">
        <f t="shared" ca="1" si="58"/>
        <v/>
      </c>
      <c r="C270" s="946" t="str">
        <f t="shared" ca="1" si="62"/>
        <v/>
      </c>
      <c r="D270" s="946" t="str">
        <f t="shared" ca="1" si="59"/>
        <v/>
      </c>
      <c r="E270" s="946" t="str">
        <f t="shared" ca="1" si="60"/>
        <v/>
      </c>
      <c r="F270" s="947" t="str">
        <f t="shared" ca="1" si="61"/>
        <v/>
      </c>
      <c r="G270" s="947" t="str">
        <f t="shared" ca="1" si="63"/>
        <v/>
      </c>
      <c r="H270" s="947" t="str">
        <f t="shared" ca="1" si="63"/>
        <v/>
      </c>
      <c r="I270" s="947" t="str">
        <f t="shared" ca="1" si="63"/>
        <v/>
      </c>
      <c r="J270" s="947" t="str">
        <f t="shared" ca="1" si="63"/>
        <v/>
      </c>
      <c r="K270" s="947" t="str">
        <f t="shared" ca="1" si="63"/>
        <v/>
      </c>
      <c r="L270" s="947" t="str">
        <f t="shared" ca="1" si="63"/>
        <v/>
      </c>
      <c r="M270" s="947" t="str">
        <f t="shared" ca="1" si="63"/>
        <v/>
      </c>
      <c r="T270" s="26"/>
      <c r="U270" s="104"/>
      <c r="V270" s="104"/>
      <c r="W270" s="104"/>
      <c r="X270" s="104"/>
      <c r="Y270" s="104"/>
      <c r="Z270" s="104"/>
      <c r="AA270" s="104"/>
    </row>
    <row r="271" spans="1:27" ht="15" customHeight="1" x14ac:dyDescent="0.15">
      <c r="A271" s="26"/>
      <c r="B271" s="945" t="str">
        <f t="shared" ca="1" si="58"/>
        <v/>
      </c>
      <c r="C271" s="946" t="str">
        <f t="shared" ca="1" si="62"/>
        <v/>
      </c>
      <c r="D271" s="946" t="str">
        <f t="shared" ca="1" si="59"/>
        <v/>
      </c>
      <c r="E271" s="946" t="str">
        <f t="shared" ca="1" si="60"/>
        <v/>
      </c>
      <c r="F271" s="947" t="str">
        <f t="shared" ca="1" si="61"/>
        <v/>
      </c>
      <c r="G271" s="947" t="str">
        <f t="shared" ca="1" si="63"/>
        <v/>
      </c>
      <c r="H271" s="947" t="str">
        <f t="shared" ca="1" si="63"/>
        <v/>
      </c>
      <c r="I271" s="947" t="str">
        <f t="shared" ca="1" si="63"/>
        <v/>
      </c>
      <c r="J271" s="947" t="str">
        <f t="shared" ca="1" si="63"/>
        <v/>
      </c>
      <c r="K271" s="947" t="str">
        <f t="shared" ca="1" si="63"/>
        <v/>
      </c>
      <c r="L271" s="947" t="str">
        <f t="shared" ca="1" si="63"/>
        <v/>
      </c>
      <c r="M271" s="947" t="str">
        <f t="shared" ca="1" si="63"/>
        <v/>
      </c>
      <c r="T271" s="26"/>
      <c r="U271" s="104"/>
      <c r="V271" s="104"/>
      <c r="W271" s="104"/>
      <c r="X271" s="104"/>
      <c r="Y271" s="104"/>
      <c r="Z271" s="104"/>
      <c r="AA271" s="104"/>
    </row>
    <row r="272" spans="1:27" ht="15" customHeight="1" x14ac:dyDescent="0.15">
      <c r="A272" s="26"/>
      <c r="B272" s="945" t="str">
        <f t="shared" ca="1" si="58"/>
        <v/>
      </c>
      <c r="C272" s="946" t="str">
        <f t="shared" ca="1" si="62"/>
        <v/>
      </c>
      <c r="D272" s="946" t="str">
        <f t="shared" ca="1" si="59"/>
        <v/>
      </c>
      <c r="E272" s="946" t="str">
        <f t="shared" ca="1" si="60"/>
        <v/>
      </c>
      <c r="F272" s="947" t="str">
        <f t="shared" ca="1" si="61"/>
        <v/>
      </c>
      <c r="G272" s="947" t="str">
        <f t="shared" ca="1" si="63"/>
        <v/>
      </c>
      <c r="H272" s="947" t="str">
        <f t="shared" ca="1" si="63"/>
        <v/>
      </c>
      <c r="I272" s="947" t="str">
        <f t="shared" ca="1" si="63"/>
        <v/>
      </c>
      <c r="J272" s="947" t="str">
        <f t="shared" ca="1" si="63"/>
        <v/>
      </c>
      <c r="K272" s="947" t="str">
        <f t="shared" ca="1" si="63"/>
        <v/>
      </c>
      <c r="L272" s="947" t="str">
        <f t="shared" ca="1" si="63"/>
        <v/>
      </c>
      <c r="M272" s="947" t="str">
        <f t="shared" ca="1" si="63"/>
        <v/>
      </c>
      <c r="T272" s="26"/>
      <c r="U272" s="104"/>
      <c r="V272" s="104"/>
      <c r="W272" s="104"/>
      <c r="X272" s="104"/>
      <c r="Y272" s="104"/>
      <c r="Z272" s="104"/>
      <c r="AA272" s="104"/>
    </row>
    <row r="273" spans="1:27" ht="15" customHeight="1" x14ac:dyDescent="0.15">
      <c r="A273" s="26"/>
      <c r="B273" s="945" t="str">
        <f t="shared" ca="1" si="58"/>
        <v/>
      </c>
      <c r="C273" s="946" t="str">
        <f t="shared" ca="1" si="62"/>
        <v/>
      </c>
      <c r="D273" s="946" t="str">
        <f t="shared" ca="1" si="59"/>
        <v/>
      </c>
      <c r="E273" s="946" t="str">
        <f t="shared" ca="1" si="60"/>
        <v/>
      </c>
      <c r="F273" s="947" t="str">
        <f t="shared" ca="1" si="61"/>
        <v/>
      </c>
      <c r="G273" s="947" t="str">
        <f t="shared" ca="1" si="63"/>
        <v/>
      </c>
      <c r="H273" s="947" t="str">
        <f t="shared" ca="1" si="63"/>
        <v/>
      </c>
      <c r="I273" s="947" t="str">
        <f t="shared" ca="1" si="63"/>
        <v/>
      </c>
      <c r="J273" s="947" t="str">
        <f t="shared" ca="1" si="63"/>
        <v/>
      </c>
      <c r="K273" s="947" t="str">
        <f t="shared" ca="1" si="63"/>
        <v/>
      </c>
      <c r="L273" s="947" t="str">
        <f t="shared" ca="1" si="63"/>
        <v/>
      </c>
      <c r="M273" s="947" t="str">
        <f t="shared" ca="1" si="63"/>
        <v/>
      </c>
      <c r="T273" s="26"/>
      <c r="U273" s="104"/>
      <c r="V273" s="104"/>
      <c r="W273" s="104"/>
      <c r="X273" s="104"/>
      <c r="Y273" s="104"/>
      <c r="Z273" s="104"/>
      <c r="AA273" s="104"/>
    </row>
    <row r="274" spans="1:27" ht="15" customHeight="1" x14ac:dyDescent="0.15">
      <c r="A274" s="26"/>
      <c r="B274" s="945" t="str">
        <f t="shared" ca="1" si="58"/>
        <v/>
      </c>
      <c r="C274" s="946" t="str">
        <f t="shared" ca="1" si="62"/>
        <v/>
      </c>
      <c r="D274" s="946" t="str">
        <f t="shared" ca="1" si="59"/>
        <v/>
      </c>
      <c r="E274" s="946" t="str">
        <f t="shared" ca="1" si="60"/>
        <v/>
      </c>
      <c r="F274" s="947" t="str">
        <f t="shared" ca="1" si="61"/>
        <v/>
      </c>
      <c r="G274" s="947" t="str">
        <f t="shared" ca="1" si="63"/>
        <v/>
      </c>
      <c r="H274" s="947" t="str">
        <f t="shared" ca="1" si="63"/>
        <v/>
      </c>
      <c r="I274" s="947" t="str">
        <f t="shared" ca="1" si="63"/>
        <v/>
      </c>
      <c r="J274" s="947" t="str">
        <f t="shared" ca="1" si="63"/>
        <v/>
      </c>
      <c r="K274" s="947" t="str">
        <f t="shared" ca="1" si="63"/>
        <v/>
      </c>
      <c r="L274" s="947" t="str">
        <f t="shared" ca="1" si="63"/>
        <v/>
      </c>
      <c r="M274" s="947" t="str">
        <f t="shared" ca="1" si="63"/>
        <v/>
      </c>
      <c r="T274" s="26"/>
      <c r="U274" s="104"/>
      <c r="V274" s="104"/>
      <c r="W274" s="104"/>
      <c r="X274" s="104"/>
      <c r="Y274" s="104"/>
      <c r="Z274" s="104"/>
      <c r="AA274" s="104"/>
    </row>
    <row r="275" spans="1:27" ht="15" customHeight="1" x14ac:dyDescent="0.15">
      <c r="A275" s="26"/>
      <c r="B275" s="945" t="str">
        <f t="shared" ca="1" si="58"/>
        <v/>
      </c>
      <c r="C275" s="946" t="str">
        <f t="shared" ca="1" si="62"/>
        <v/>
      </c>
      <c r="D275" s="946" t="str">
        <f t="shared" ca="1" si="59"/>
        <v/>
      </c>
      <c r="E275" s="946" t="str">
        <f t="shared" ca="1" si="60"/>
        <v/>
      </c>
      <c r="F275" s="947" t="str">
        <f t="shared" ca="1" si="61"/>
        <v/>
      </c>
      <c r="G275" s="947" t="str">
        <f t="shared" ca="1" si="63"/>
        <v/>
      </c>
      <c r="H275" s="947" t="str">
        <f t="shared" ca="1" si="63"/>
        <v/>
      </c>
      <c r="I275" s="947" t="str">
        <f t="shared" ca="1" si="63"/>
        <v/>
      </c>
      <c r="J275" s="947" t="str">
        <f t="shared" ca="1" si="63"/>
        <v/>
      </c>
      <c r="K275" s="947" t="str">
        <f t="shared" ca="1" si="63"/>
        <v/>
      </c>
      <c r="L275" s="947" t="str">
        <f t="shared" ca="1" si="63"/>
        <v/>
      </c>
      <c r="M275" s="947" t="str">
        <f t="shared" ca="1" si="63"/>
        <v/>
      </c>
      <c r="O275" s="128"/>
      <c r="T275" s="26"/>
      <c r="U275" s="104"/>
      <c r="V275" s="104"/>
      <c r="W275" s="104"/>
      <c r="X275" s="104"/>
      <c r="Y275" s="104"/>
      <c r="Z275" s="104"/>
      <c r="AA275" s="104"/>
    </row>
    <row r="276" spans="1:27" ht="15" customHeight="1" x14ac:dyDescent="0.15">
      <c r="A276" s="26"/>
      <c r="B276" s="945" t="str">
        <f t="shared" ca="1" si="58"/>
        <v/>
      </c>
      <c r="C276" s="946" t="str">
        <f t="shared" ca="1" si="62"/>
        <v/>
      </c>
      <c r="D276" s="946" t="str">
        <f t="shared" ca="1" si="59"/>
        <v/>
      </c>
      <c r="E276" s="946" t="str">
        <f t="shared" ca="1" si="60"/>
        <v/>
      </c>
      <c r="F276" s="947" t="str">
        <f t="shared" ca="1" si="61"/>
        <v/>
      </c>
      <c r="G276" s="947" t="str">
        <f t="shared" ref="G276:M285" ca="1" si="64">IFERROR(IF(NOT($E276 = 7), "",INDIRECT($C276 &amp;"!" &amp;ADDRESS($D276,  COLUMN(INDIRECT(INDEX($AD$194:$AD$217, MATCH($C276, $Z$194:$Z$204, 0)) &amp; $D276)) +  G$195 - 1))), "")</f>
        <v/>
      </c>
      <c r="H276" s="947" t="str">
        <f t="shared" ca="1" si="64"/>
        <v/>
      </c>
      <c r="I276" s="947" t="str">
        <f t="shared" ca="1" si="64"/>
        <v/>
      </c>
      <c r="J276" s="947" t="str">
        <f t="shared" ca="1" si="64"/>
        <v/>
      </c>
      <c r="K276" s="947" t="str">
        <f t="shared" ca="1" si="64"/>
        <v/>
      </c>
      <c r="L276" s="947" t="str">
        <f t="shared" ca="1" si="64"/>
        <v/>
      </c>
      <c r="M276" s="947" t="str">
        <f t="shared" ca="1" si="64"/>
        <v/>
      </c>
      <c r="X276" s="104"/>
      <c r="Y276" s="104"/>
      <c r="Z276" s="104"/>
      <c r="AA276" s="104"/>
    </row>
    <row r="277" spans="1:27" ht="15" customHeight="1" x14ac:dyDescent="0.15">
      <c r="A277" s="26"/>
      <c r="B277" s="945" t="str">
        <f t="shared" ca="1" si="58"/>
        <v/>
      </c>
      <c r="C277" s="946" t="str">
        <f t="shared" ca="1" si="62"/>
        <v/>
      </c>
      <c r="D277" s="946" t="str">
        <f t="shared" ca="1" si="59"/>
        <v/>
      </c>
      <c r="E277" s="946" t="str">
        <f t="shared" ca="1" si="60"/>
        <v/>
      </c>
      <c r="F277" s="947" t="str">
        <f t="shared" ca="1" si="61"/>
        <v/>
      </c>
      <c r="G277" s="947" t="str">
        <f t="shared" ca="1" si="64"/>
        <v/>
      </c>
      <c r="H277" s="947" t="str">
        <f t="shared" ca="1" si="64"/>
        <v/>
      </c>
      <c r="I277" s="947" t="str">
        <f t="shared" ca="1" si="64"/>
        <v/>
      </c>
      <c r="J277" s="947" t="str">
        <f t="shared" ca="1" si="64"/>
        <v/>
      </c>
      <c r="K277" s="947" t="str">
        <f t="shared" ca="1" si="64"/>
        <v/>
      </c>
      <c r="L277" s="947" t="str">
        <f t="shared" ca="1" si="64"/>
        <v/>
      </c>
      <c r="M277" s="947" t="str">
        <f t="shared" ca="1" si="64"/>
        <v/>
      </c>
    </row>
    <row r="278" spans="1:27" ht="15" customHeight="1" x14ac:dyDescent="0.15">
      <c r="A278" s="26"/>
      <c r="B278" s="945" t="str">
        <f t="shared" ca="1" si="58"/>
        <v/>
      </c>
      <c r="C278" s="946" t="str">
        <f t="shared" ca="1" si="62"/>
        <v/>
      </c>
      <c r="D278" s="946" t="str">
        <f t="shared" ca="1" si="59"/>
        <v/>
      </c>
      <c r="E278" s="946" t="str">
        <f t="shared" ca="1" si="60"/>
        <v/>
      </c>
      <c r="F278" s="947" t="str">
        <f t="shared" ca="1" si="61"/>
        <v/>
      </c>
      <c r="G278" s="947" t="str">
        <f t="shared" ca="1" si="64"/>
        <v/>
      </c>
      <c r="H278" s="947" t="str">
        <f t="shared" ca="1" si="64"/>
        <v/>
      </c>
      <c r="I278" s="947" t="str">
        <f t="shared" ca="1" si="64"/>
        <v/>
      </c>
      <c r="J278" s="947" t="str">
        <f t="shared" ca="1" si="64"/>
        <v/>
      </c>
      <c r="K278" s="947" t="str">
        <f t="shared" ca="1" si="64"/>
        <v/>
      </c>
      <c r="L278" s="947" t="str">
        <f t="shared" ca="1" si="64"/>
        <v/>
      </c>
      <c r="M278" s="947" t="str">
        <f t="shared" ca="1" si="64"/>
        <v/>
      </c>
    </row>
    <row r="279" spans="1:27" ht="15" customHeight="1" x14ac:dyDescent="0.15">
      <c r="A279" s="26"/>
      <c r="B279" s="945" t="str">
        <f t="shared" ca="1" si="58"/>
        <v/>
      </c>
      <c r="C279" s="946" t="str">
        <f t="shared" ca="1" si="62"/>
        <v/>
      </c>
      <c r="D279" s="946" t="str">
        <f t="shared" ca="1" si="59"/>
        <v/>
      </c>
      <c r="E279" s="946" t="str">
        <f t="shared" ca="1" si="60"/>
        <v/>
      </c>
      <c r="F279" s="947" t="str">
        <f t="shared" ca="1" si="61"/>
        <v/>
      </c>
      <c r="G279" s="947" t="str">
        <f t="shared" ca="1" si="64"/>
        <v/>
      </c>
      <c r="H279" s="947" t="str">
        <f t="shared" ca="1" si="64"/>
        <v/>
      </c>
      <c r="I279" s="947" t="str">
        <f t="shared" ca="1" si="64"/>
        <v/>
      </c>
      <c r="J279" s="947" t="str">
        <f t="shared" ca="1" si="64"/>
        <v/>
      </c>
      <c r="K279" s="947" t="str">
        <f t="shared" ca="1" si="64"/>
        <v/>
      </c>
      <c r="L279" s="947" t="str">
        <f t="shared" ca="1" si="64"/>
        <v/>
      </c>
      <c r="M279" s="947" t="str">
        <f t="shared" ca="1" si="64"/>
        <v/>
      </c>
    </row>
    <row r="280" spans="1:27" ht="15" customHeight="1" x14ac:dyDescent="0.15">
      <c r="A280" s="26"/>
      <c r="B280" s="945" t="str">
        <f t="shared" ca="1" si="58"/>
        <v/>
      </c>
      <c r="C280" s="946" t="str">
        <f t="shared" ca="1" si="62"/>
        <v/>
      </c>
      <c r="D280" s="946" t="str">
        <f t="shared" ca="1" si="59"/>
        <v/>
      </c>
      <c r="E280" s="946" t="str">
        <f t="shared" ca="1" si="60"/>
        <v/>
      </c>
      <c r="F280" s="947" t="str">
        <f t="shared" ca="1" si="61"/>
        <v/>
      </c>
      <c r="G280" s="947" t="str">
        <f t="shared" ca="1" si="64"/>
        <v/>
      </c>
      <c r="H280" s="947" t="str">
        <f t="shared" ca="1" si="64"/>
        <v/>
      </c>
      <c r="I280" s="947" t="str">
        <f t="shared" ca="1" si="64"/>
        <v/>
      </c>
      <c r="J280" s="947" t="str">
        <f t="shared" ca="1" si="64"/>
        <v/>
      </c>
      <c r="K280" s="947" t="str">
        <f t="shared" ca="1" si="64"/>
        <v/>
      </c>
      <c r="L280" s="947" t="str">
        <f t="shared" ca="1" si="64"/>
        <v/>
      </c>
      <c r="M280" s="947" t="str">
        <f t="shared" ca="1" si="64"/>
        <v/>
      </c>
    </row>
    <row r="281" spans="1:27" ht="15" customHeight="1" x14ac:dyDescent="0.15">
      <c r="A281" s="26"/>
      <c r="B281" s="945" t="str">
        <f t="shared" ca="1" si="58"/>
        <v/>
      </c>
      <c r="C281" s="946" t="str">
        <f t="shared" ca="1" si="62"/>
        <v/>
      </c>
      <c r="D281" s="946" t="str">
        <f t="shared" ca="1" si="59"/>
        <v/>
      </c>
      <c r="E281" s="946" t="str">
        <f t="shared" ca="1" si="60"/>
        <v/>
      </c>
      <c r="F281" s="947" t="str">
        <f t="shared" ca="1" si="61"/>
        <v/>
      </c>
      <c r="G281" s="947" t="str">
        <f t="shared" ca="1" si="64"/>
        <v/>
      </c>
      <c r="H281" s="947" t="str">
        <f t="shared" ca="1" si="64"/>
        <v/>
      </c>
      <c r="I281" s="947" t="str">
        <f t="shared" ca="1" si="64"/>
        <v/>
      </c>
      <c r="J281" s="947" t="str">
        <f t="shared" ca="1" si="64"/>
        <v/>
      </c>
      <c r="K281" s="947" t="str">
        <f t="shared" ca="1" si="64"/>
        <v/>
      </c>
      <c r="L281" s="947" t="str">
        <f t="shared" ca="1" si="64"/>
        <v/>
      </c>
      <c r="M281" s="947" t="str">
        <f t="shared" ca="1" si="64"/>
        <v/>
      </c>
    </row>
    <row r="282" spans="1:27" ht="15" customHeight="1" x14ac:dyDescent="0.15">
      <c r="A282" s="26"/>
      <c r="B282" s="945" t="str">
        <f t="shared" ca="1" si="58"/>
        <v/>
      </c>
      <c r="C282" s="946" t="str">
        <f t="shared" ca="1" si="62"/>
        <v/>
      </c>
      <c r="D282" s="946" t="str">
        <f t="shared" ca="1" si="59"/>
        <v/>
      </c>
      <c r="E282" s="946" t="str">
        <f t="shared" ca="1" si="60"/>
        <v/>
      </c>
      <c r="F282" s="947" t="str">
        <f t="shared" ca="1" si="61"/>
        <v/>
      </c>
      <c r="G282" s="947" t="str">
        <f t="shared" ca="1" si="64"/>
        <v/>
      </c>
      <c r="H282" s="947" t="str">
        <f t="shared" ca="1" si="64"/>
        <v/>
      </c>
      <c r="I282" s="947" t="str">
        <f t="shared" ca="1" si="64"/>
        <v/>
      </c>
      <c r="J282" s="947" t="str">
        <f t="shared" ca="1" si="64"/>
        <v/>
      </c>
      <c r="K282" s="947" t="str">
        <f t="shared" ca="1" si="64"/>
        <v/>
      </c>
      <c r="L282" s="947" t="str">
        <f t="shared" ca="1" si="64"/>
        <v/>
      </c>
      <c r="M282" s="947" t="str">
        <f t="shared" ca="1" si="64"/>
        <v/>
      </c>
    </row>
    <row r="283" spans="1:27" ht="15" customHeight="1" x14ac:dyDescent="0.15">
      <c r="A283" s="26"/>
      <c r="B283" s="945" t="str">
        <f t="shared" ca="1" si="58"/>
        <v/>
      </c>
      <c r="C283" s="946" t="str">
        <f t="shared" ca="1" si="62"/>
        <v/>
      </c>
      <c r="D283" s="946" t="str">
        <f t="shared" ca="1" si="59"/>
        <v/>
      </c>
      <c r="E283" s="946" t="str">
        <f t="shared" ca="1" si="60"/>
        <v/>
      </c>
      <c r="F283" s="947" t="str">
        <f t="shared" ca="1" si="61"/>
        <v/>
      </c>
      <c r="G283" s="947" t="str">
        <f t="shared" ca="1" si="64"/>
        <v/>
      </c>
      <c r="H283" s="947" t="str">
        <f t="shared" ca="1" si="64"/>
        <v/>
      </c>
      <c r="I283" s="947" t="str">
        <f t="shared" ca="1" si="64"/>
        <v/>
      </c>
      <c r="J283" s="947" t="str">
        <f t="shared" ca="1" si="64"/>
        <v/>
      </c>
      <c r="K283" s="947" t="str">
        <f t="shared" ca="1" si="64"/>
        <v/>
      </c>
      <c r="L283" s="947" t="str">
        <f t="shared" ca="1" si="64"/>
        <v/>
      </c>
      <c r="M283" s="947" t="str">
        <f t="shared" ca="1" si="64"/>
        <v/>
      </c>
    </row>
    <row r="284" spans="1:27" ht="15" customHeight="1" x14ac:dyDescent="0.15">
      <c r="A284" s="26"/>
      <c r="B284" s="945" t="str">
        <f t="shared" ca="1" si="58"/>
        <v/>
      </c>
      <c r="C284" s="946" t="str">
        <f t="shared" ca="1" si="62"/>
        <v/>
      </c>
      <c r="D284" s="946" t="str">
        <f t="shared" ca="1" si="59"/>
        <v/>
      </c>
      <c r="E284" s="946" t="str">
        <f t="shared" ca="1" si="60"/>
        <v/>
      </c>
      <c r="F284" s="947" t="str">
        <f t="shared" ca="1" si="61"/>
        <v/>
      </c>
      <c r="G284" s="947" t="str">
        <f t="shared" ca="1" si="64"/>
        <v/>
      </c>
      <c r="H284" s="947" t="str">
        <f t="shared" ca="1" si="64"/>
        <v/>
      </c>
      <c r="I284" s="947" t="str">
        <f t="shared" ca="1" si="64"/>
        <v/>
      </c>
      <c r="J284" s="947" t="str">
        <f t="shared" ca="1" si="64"/>
        <v/>
      </c>
      <c r="K284" s="947" t="str">
        <f t="shared" ca="1" si="64"/>
        <v/>
      </c>
      <c r="L284" s="947" t="str">
        <f t="shared" ca="1" si="64"/>
        <v/>
      </c>
      <c r="M284" s="947" t="str">
        <f t="shared" ca="1" si="64"/>
        <v/>
      </c>
      <c r="O284" s="95"/>
      <c r="P284" s="95"/>
    </row>
    <row r="285" spans="1:27" ht="15" customHeight="1" x14ac:dyDescent="0.15">
      <c r="A285" s="26"/>
      <c r="B285" s="945" t="str">
        <f t="shared" ca="1" si="58"/>
        <v/>
      </c>
      <c r="C285" s="946" t="str">
        <f t="shared" ca="1" si="62"/>
        <v/>
      </c>
      <c r="D285" s="946" t="str">
        <f t="shared" ca="1" si="59"/>
        <v/>
      </c>
      <c r="E285" s="946" t="str">
        <f t="shared" ca="1" si="60"/>
        <v/>
      </c>
      <c r="F285" s="947" t="str">
        <f t="shared" ca="1" si="61"/>
        <v/>
      </c>
      <c r="G285" s="947" t="str">
        <f t="shared" ca="1" si="64"/>
        <v/>
      </c>
      <c r="H285" s="947" t="str">
        <f t="shared" ca="1" si="64"/>
        <v/>
      </c>
      <c r="I285" s="947" t="str">
        <f t="shared" ca="1" si="64"/>
        <v/>
      </c>
      <c r="J285" s="947" t="str">
        <f t="shared" ca="1" si="64"/>
        <v/>
      </c>
      <c r="K285" s="947" t="str">
        <f t="shared" ca="1" si="64"/>
        <v/>
      </c>
      <c r="L285" s="947" t="str">
        <f t="shared" ca="1" si="64"/>
        <v/>
      </c>
      <c r="M285" s="947" t="str">
        <f t="shared" ca="1" si="64"/>
        <v/>
      </c>
      <c r="N285" s="95"/>
      <c r="O285" s="95"/>
      <c r="P285" s="95"/>
    </row>
    <row r="286" spans="1:27" ht="15" customHeight="1" x14ac:dyDescent="0.15">
      <c r="A286" s="26"/>
      <c r="B286" s="370" t="str">
        <f t="shared" ca="1" si="58"/>
        <v/>
      </c>
      <c r="C286" s="368" t="str">
        <f t="shared" ca="1" si="62"/>
        <v/>
      </c>
      <c r="D286" s="368" t="str">
        <f t="shared" ca="1" si="59"/>
        <v/>
      </c>
      <c r="E286" s="368" t="str">
        <f t="shared" ca="1" si="60"/>
        <v/>
      </c>
      <c r="F286" s="369" t="str">
        <f t="shared" ca="1" si="61"/>
        <v/>
      </c>
      <c r="G286" s="369" t="str">
        <f t="shared" ref="G286:M295" ca="1" si="65">IFERROR(IF(NOT($E286 = 7), "",INDIRECT($C286 &amp;"!" &amp;ADDRESS($D286,  COLUMN(INDIRECT(INDEX($AD$194:$AD$217, MATCH($C286, $Z$194:$Z$204, 0)) &amp; $D286)) +  G$195 - 1))), "")</f>
        <v/>
      </c>
      <c r="H286" s="369" t="str">
        <f t="shared" ca="1" si="65"/>
        <v/>
      </c>
      <c r="I286" s="369" t="str">
        <f t="shared" ca="1" si="65"/>
        <v/>
      </c>
      <c r="J286" s="369" t="str">
        <f t="shared" ca="1" si="65"/>
        <v/>
      </c>
      <c r="K286" s="369" t="str">
        <f t="shared" ca="1" si="65"/>
        <v/>
      </c>
      <c r="L286" s="369" t="str">
        <f t="shared" ca="1" si="65"/>
        <v/>
      </c>
      <c r="M286" s="369" t="str">
        <f t="shared" ca="1" si="65"/>
        <v/>
      </c>
      <c r="N286" s="95"/>
      <c r="O286" s="95"/>
      <c r="P286" s="95"/>
    </row>
    <row r="287" spans="1:27" ht="15" customHeight="1" x14ac:dyDescent="0.15">
      <c r="A287" s="26"/>
      <c r="B287" s="370" t="str">
        <f t="shared" ca="1" si="58"/>
        <v/>
      </c>
      <c r="C287" s="368" t="str">
        <f t="shared" ca="1" si="62"/>
        <v/>
      </c>
      <c r="D287" s="368" t="str">
        <f t="shared" ca="1" si="59"/>
        <v/>
      </c>
      <c r="E287" s="368" t="str">
        <f t="shared" ca="1" si="60"/>
        <v/>
      </c>
      <c r="F287" s="369" t="str">
        <f t="shared" ca="1" si="61"/>
        <v/>
      </c>
      <c r="G287" s="369" t="str">
        <f t="shared" ca="1" si="65"/>
        <v/>
      </c>
      <c r="H287" s="369" t="str">
        <f t="shared" ca="1" si="65"/>
        <v/>
      </c>
      <c r="I287" s="369" t="str">
        <f t="shared" ca="1" si="65"/>
        <v/>
      </c>
      <c r="J287" s="369" t="str">
        <f t="shared" ca="1" si="65"/>
        <v/>
      </c>
      <c r="K287" s="369" t="str">
        <f t="shared" ca="1" si="65"/>
        <v/>
      </c>
      <c r="L287" s="369" t="str">
        <f t="shared" ca="1" si="65"/>
        <v/>
      </c>
      <c r="M287" s="369" t="str">
        <f t="shared" ca="1" si="65"/>
        <v/>
      </c>
      <c r="N287" s="95"/>
      <c r="O287" s="95"/>
      <c r="P287" s="95"/>
    </row>
    <row r="288" spans="1:27" ht="15" customHeight="1" x14ac:dyDescent="0.15">
      <c r="A288" s="26"/>
      <c r="B288" s="370" t="str">
        <f t="shared" ca="1" si="58"/>
        <v/>
      </c>
      <c r="C288" s="368" t="str">
        <f t="shared" ca="1" si="62"/>
        <v/>
      </c>
      <c r="D288" s="368" t="str">
        <f t="shared" ca="1" si="59"/>
        <v/>
      </c>
      <c r="E288" s="368" t="str">
        <f t="shared" ca="1" si="60"/>
        <v/>
      </c>
      <c r="F288" s="369" t="str">
        <f t="shared" ca="1" si="61"/>
        <v/>
      </c>
      <c r="G288" s="369" t="str">
        <f t="shared" ca="1" si="65"/>
        <v/>
      </c>
      <c r="H288" s="369" t="str">
        <f t="shared" ca="1" si="65"/>
        <v/>
      </c>
      <c r="I288" s="369" t="str">
        <f t="shared" ca="1" si="65"/>
        <v/>
      </c>
      <c r="J288" s="369" t="str">
        <f t="shared" ca="1" si="65"/>
        <v/>
      </c>
      <c r="K288" s="369" t="str">
        <f t="shared" ca="1" si="65"/>
        <v/>
      </c>
      <c r="L288" s="369" t="str">
        <f t="shared" ca="1" si="65"/>
        <v/>
      </c>
      <c r="M288" s="369" t="str">
        <f t="shared" ca="1" si="65"/>
        <v/>
      </c>
      <c r="N288" s="95"/>
      <c r="O288" s="354"/>
      <c r="P288" s="95"/>
      <c r="Q288" s="127"/>
      <c r="R288" s="127"/>
    </row>
    <row r="289" spans="1:15" ht="15" customHeight="1" x14ac:dyDescent="0.15">
      <c r="A289" s="26"/>
      <c r="B289" s="370" t="str">
        <f t="shared" ca="1" si="58"/>
        <v/>
      </c>
      <c r="C289" s="368" t="str">
        <f t="shared" ca="1" si="62"/>
        <v/>
      </c>
      <c r="D289" s="368" t="str">
        <f t="shared" ca="1" si="59"/>
        <v/>
      </c>
      <c r="E289" s="368" t="str">
        <f t="shared" ca="1" si="60"/>
        <v/>
      </c>
      <c r="F289" s="369" t="str">
        <f t="shared" ca="1" si="61"/>
        <v/>
      </c>
      <c r="G289" s="369" t="str">
        <f t="shared" ca="1" si="65"/>
        <v/>
      </c>
      <c r="H289" s="369" t="str">
        <f t="shared" ca="1" si="65"/>
        <v/>
      </c>
      <c r="I289" s="369" t="str">
        <f t="shared" ca="1" si="65"/>
        <v/>
      </c>
      <c r="J289" s="369" t="str">
        <f t="shared" ca="1" si="65"/>
        <v/>
      </c>
      <c r="K289" s="369" t="str">
        <f t="shared" ca="1" si="65"/>
        <v/>
      </c>
      <c r="L289" s="369" t="str">
        <f t="shared" ca="1" si="65"/>
        <v/>
      </c>
      <c r="M289" s="369" t="str">
        <f t="shared" ca="1" si="65"/>
        <v/>
      </c>
      <c r="N289" s="95"/>
    </row>
    <row r="290" spans="1:15" ht="15" customHeight="1" x14ac:dyDescent="0.15">
      <c r="A290" s="26"/>
      <c r="B290" s="370" t="str">
        <f t="shared" ca="1" si="58"/>
        <v/>
      </c>
      <c r="C290" s="368" t="str">
        <f t="shared" ca="1" si="62"/>
        <v/>
      </c>
      <c r="D290" s="368" t="str">
        <f t="shared" ca="1" si="59"/>
        <v/>
      </c>
      <c r="E290" s="368" t="str">
        <f t="shared" ca="1" si="60"/>
        <v/>
      </c>
      <c r="F290" s="369" t="str">
        <f t="shared" ca="1" si="61"/>
        <v/>
      </c>
      <c r="G290" s="369" t="str">
        <f t="shared" ca="1" si="65"/>
        <v/>
      </c>
      <c r="H290" s="369" t="str">
        <f t="shared" ca="1" si="65"/>
        <v/>
      </c>
      <c r="I290" s="369" t="str">
        <f t="shared" ca="1" si="65"/>
        <v/>
      </c>
      <c r="J290" s="369" t="str">
        <f t="shared" ca="1" si="65"/>
        <v/>
      </c>
      <c r="K290" s="369" t="str">
        <f t="shared" ca="1" si="65"/>
        <v/>
      </c>
      <c r="L290" s="369" t="str">
        <f t="shared" ca="1" si="65"/>
        <v/>
      </c>
      <c r="M290" s="369" t="str">
        <f t="shared" ca="1" si="65"/>
        <v/>
      </c>
      <c r="O290" s="88"/>
    </row>
    <row r="291" spans="1:15" ht="15" customHeight="1" x14ac:dyDescent="0.15">
      <c r="A291" s="26"/>
      <c r="B291" s="370" t="str">
        <f t="shared" ca="1" si="58"/>
        <v/>
      </c>
      <c r="C291" s="368" t="str">
        <f t="shared" ca="1" si="62"/>
        <v/>
      </c>
      <c r="D291" s="368" t="str">
        <f t="shared" ca="1" si="59"/>
        <v/>
      </c>
      <c r="E291" s="368" t="str">
        <f t="shared" ca="1" si="60"/>
        <v/>
      </c>
      <c r="F291" s="369" t="str">
        <f t="shared" ca="1" si="61"/>
        <v/>
      </c>
      <c r="G291" s="369" t="str">
        <f t="shared" ca="1" si="65"/>
        <v/>
      </c>
      <c r="H291" s="369" t="str">
        <f t="shared" ca="1" si="65"/>
        <v/>
      </c>
      <c r="I291" s="369" t="str">
        <f t="shared" ca="1" si="65"/>
        <v/>
      </c>
      <c r="J291" s="369" t="str">
        <f t="shared" ca="1" si="65"/>
        <v/>
      </c>
      <c r="K291" s="369" t="str">
        <f t="shared" ca="1" si="65"/>
        <v/>
      </c>
      <c r="L291" s="369" t="str">
        <f t="shared" ca="1" si="65"/>
        <v/>
      </c>
      <c r="M291" s="369" t="str">
        <f t="shared" ca="1" si="65"/>
        <v/>
      </c>
    </row>
    <row r="292" spans="1:15" ht="15" customHeight="1" x14ac:dyDescent="0.15">
      <c r="A292" s="26"/>
      <c r="B292" s="370" t="str">
        <f t="shared" ref="B292:B314" ca="1" si="66">IFERROR(IF(BB298= "", IF(ISBLANK(INDIRECT(C292 &amp;"!$" &amp;INDEX($AC$194:$AC$217, MATCH(C292, $Z$194:$Z$204, 0))&amp;  D292)), "", INDIRECT(C292 &amp;"!$" &amp;INDEX($AC$194:$AC$217, MATCH(C292, $Z$194:$Z$204, 0))&amp;  D292)), INDIRECT(C292 &amp;"!$" &amp;DD298&amp;  D292)), "")</f>
        <v/>
      </c>
      <c r="C292" s="368" t="str">
        <f t="shared" ca="1" si="62"/>
        <v/>
      </c>
      <c r="D292" s="368" t="str">
        <f t="shared" ref="D292:D314" ca="1" si="67">IFERROR(MATCH("x",INDIRECT(C292&amp;"!$"&amp;INDEX($AB$194:$AB$217,MATCH(C292,$Z$194:$Z$204,0))&amp;IF(NOT(C292=C291),1,D291+1)&amp;":$"&amp;INDEX($AB$194:$AB$217,MATCH(C292,$Z$194:$Z$204,0))&amp;"20000"),0)+IF(NOT(C292=C291),0,D291), "")</f>
        <v/>
      </c>
      <c r="E292" s="368" t="str">
        <f t="shared" ref="E292:E314" ca="1" si="68">IFERROR(INDEX( $AF$194:$AF$209,MATCH(C292, $Z$194:$Z$208, 0)), "")</f>
        <v/>
      </c>
      <c r="F292" s="369" t="str">
        <f t="shared" ref="F292:F314" ca="1" si="69">IFERROR(IF(NOT(E292 = 1), "",  IF(ISBLANK(INDIRECT(C292 &amp;"!$" &amp;INDEX($AD$194:$AD$217, MATCH(C292, $Z$194:$Z$204, 0))&amp;  D292)), "",INDIRECT(C292 &amp;"!$" &amp;INDEX($AD$194:$AD$217, MATCH(C292, $Z$194:$Z$204, 0))&amp;  D292))),  "")</f>
        <v/>
      </c>
      <c r="G292" s="369" t="str">
        <f t="shared" ca="1" si="65"/>
        <v/>
      </c>
      <c r="H292" s="369" t="str">
        <f t="shared" ca="1" si="65"/>
        <v/>
      </c>
      <c r="I292" s="369" t="str">
        <f t="shared" ca="1" si="65"/>
        <v/>
      </c>
      <c r="J292" s="369" t="str">
        <f t="shared" ca="1" si="65"/>
        <v/>
      </c>
      <c r="K292" s="369" t="str">
        <f t="shared" ca="1" si="65"/>
        <v/>
      </c>
      <c r="L292" s="369" t="str">
        <f t="shared" ca="1" si="65"/>
        <v/>
      </c>
      <c r="M292" s="369" t="str">
        <f t="shared" ca="1" si="65"/>
        <v/>
      </c>
    </row>
    <row r="293" spans="1:15" ht="15" customHeight="1" x14ac:dyDescent="0.15">
      <c r="A293" s="26"/>
      <c r="B293" s="370" t="str">
        <f t="shared" ca="1" si="66"/>
        <v/>
      </c>
      <c r="C293" s="368" t="str">
        <f t="shared" ref="C293:C314" ca="1" si="70">IFERROR(IF(ROW(E293) - ROW($E$196) &gt; INDEX($AE$194:$AE$219, MATCH(C292, $Z$194:$Z$204, 0)), INDEX($Z$194:$Z$204, MATCH(C292, $Z$194:$Z$204, 0) + 1), C292), "")</f>
        <v/>
      </c>
      <c r="D293" s="368" t="str">
        <f t="shared" ca="1" si="67"/>
        <v/>
      </c>
      <c r="E293" s="368" t="str">
        <f t="shared" ca="1" si="68"/>
        <v/>
      </c>
      <c r="F293" s="369" t="str">
        <f t="shared" ca="1" si="69"/>
        <v/>
      </c>
      <c r="G293" s="369" t="str">
        <f t="shared" ca="1" si="65"/>
        <v/>
      </c>
      <c r="H293" s="369" t="str">
        <f t="shared" ca="1" si="65"/>
        <v/>
      </c>
      <c r="I293" s="369" t="str">
        <f t="shared" ca="1" si="65"/>
        <v/>
      </c>
      <c r="J293" s="369" t="str">
        <f t="shared" ca="1" si="65"/>
        <v/>
      </c>
      <c r="K293" s="369" t="str">
        <f t="shared" ca="1" si="65"/>
        <v/>
      </c>
      <c r="L293" s="369" t="str">
        <f t="shared" ca="1" si="65"/>
        <v/>
      </c>
      <c r="M293" s="369" t="str">
        <f t="shared" ca="1" si="65"/>
        <v/>
      </c>
    </row>
    <row r="294" spans="1:15" ht="15" customHeight="1" x14ac:dyDescent="0.15">
      <c r="A294" s="26"/>
      <c r="B294" s="370" t="str">
        <f t="shared" ca="1" si="66"/>
        <v/>
      </c>
      <c r="C294" s="368" t="str">
        <f t="shared" ca="1" si="70"/>
        <v/>
      </c>
      <c r="D294" s="368" t="str">
        <f t="shared" ca="1" si="67"/>
        <v/>
      </c>
      <c r="E294" s="368" t="str">
        <f t="shared" ca="1" si="68"/>
        <v/>
      </c>
      <c r="F294" s="369" t="str">
        <f t="shared" ca="1" si="69"/>
        <v/>
      </c>
      <c r="G294" s="369" t="str">
        <f t="shared" ca="1" si="65"/>
        <v/>
      </c>
      <c r="H294" s="369" t="str">
        <f t="shared" ca="1" si="65"/>
        <v/>
      </c>
      <c r="I294" s="369" t="str">
        <f t="shared" ca="1" si="65"/>
        <v/>
      </c>
      <c r="J294" s="369" t="str">
        <f t="shared" ca="1" si="65"/>
        <v/>
      </c>
      <c r="K294" s="369" t="str">
        <f t="shared" ca="1" si="65"/>
        <v/>
      </c>
      <c r="L294" s="369" t="str">
        <f t="shared" ca="1" si="65"/>
        <v/>
      </c>
      <c r="M294" s="369" t="str">
        <f t="shared" ca="1" si="65"/>
        <v/>
      </c>
    </row>
    <row r="295" spans="1:15" ht="15" customHeight="1" x14ac:dyDescent="0.15">
      <c r="A295" s="26"/>
      <c r="B295" s="370" t="str">
        <f t="shared" ca="1" si="66"/>
        <v/>
      </c>
      <c r="C295" s="368" t="str">
        <f t="shared" ca="1" si="70"/>
        <v/>
      </c>
      <c r="D295" s="368" t="str">
        <f t="shared" ca="1" si="67"/>
        <v/>
      </c>
      <c r="E295" s="368" t="str">
        <f t="shared" ca="1" si="68"/>
        <v/>
      </c>
      <c r="F295" s="369" t="str">
        <f t="shared" ca="1" si="69"/>
        <v/>
      </c>
      <c r="G295" s="369" t="str">
        <f t="shared" ca="1" si="65"/>
        <v/>
      </c>
      <c r="H295" s="369" t="str">
        <f t="shared" ca="1" si="65"/>
        <v/>
      </c>
      <c r="I295" s="369" t="str">
        <f t="shared" ca="1" si="65"/>
        <v/>
      </c>
      <c r="J295" s="369" t="str">
        <f t="shared" ca="1" si="65"/>
        <v/>
      </c>
      <c r="K295" s="369" t="str">
        <f t="shared" ca="1" si="65"/>
        <v/>
      </c>
      <c r="L295" s="369" t="str">
        <f t="shared" ca="1" si="65"/>
        <v/>
      </c>
      <c r="M295" s="369" t="str">
        <f t="shared" ca="1" si="65"/>
        <v/>
      </c>
    </row>
    <row r="296" spans="1:15" ht="15" customHeight="1" x14ac:dyDescent="0.15">
      <c r="A296" s="26"/>
      <c r="B296" s="370" t="str">
        <f t="shared" ca="1" si="66"/>
        <v/>
      </c>
      <c r="C296" s="368" t="str">
        <f t="shared" ca="1" si="70"/>
        <v/>
      </c>
      <c r="D296" s="368" t="str">
        <f t="shared" ca="1" si="67"/>
        <v/>
      </c>
      <c r="E296" s="368" t="str">
        <f t="shared" ca="1" si="68"/>
        <v/>
      </c>
      <c r="F296" s="369" t="str">
        <f t="shared" ca="1" si="69"/>
        <v/>
      </c>
      <c r="G296" s="369" t="str">
        <f t="shared" ref="G296:M305" ca="1" si="71">IFERROR(IF(NOT($E296 = 7), "",INDIRECT($C296 &amp;"!" &amp;ADDRESS($D296,  COLUMN(INDIRECT(INDEX($AD$194:$AD$217, MATCH($C296, $Z$194:$Z$204, 0)) &amp; $D296)) +  G$195 - 1))), "")</f>
        <v/>
      </c>
      <c r="H296" s="369" t="str">
        <f t="shared" ca="1" si="71"/>
        <v/>
      </c>
      <c r="I296" s="369" t="str">
        <f t="shared" ca="1" si="71"/>
        <v/>
      </c>
      <c r="J296" s="369" t="str">
        <f t="shared" ca="1" si="71"/>
        <v/>
      </c>
      <c r="K296" s="369" t="str">
        <f t="shared" ca="1" si="71"/>
        <v/>
      </c>
      <c r="L296" s="369" t="str">
        <f t="shared" ca="1" si="71"/>
        <v/>
      </c>
      <c r="M296" s="369" t="str">
        <f t="shared" ca="1" si="71"/>
        <v/>
      </c>
    </row>
    <row r="297" spans="1:15" ht="15" customHeight="1" x14ac:dyDescent="0.15">
      <c r="A297" s="26"/>
      <c r="B297" s="370" t="str">
        <f t="shared" ca="1" si="66"/>
        <v/>
      </c>
      <c r="C297" s="368" t="str">
        <f t="shared" ca="1" si="70"/>
        <v/>
      </c>
      <c r="D297" s="368" t="str">
        <f t="shared" ca="1" si="67"/>
        <v/>
      </c>
      <c r="E297" s="368" t="str">
        <f t="shared" ca="1" si="68"/>
        <v/>
      </c>
      <c r="F297" s="369" t="str">
        <f t="shared" ca="1" si="69"/>
        <v/>
      </c>
      <c r="G297" s="369" t="str">
        <f t="shared" ca="1" si="71"/>
        <v/>
      </c>
      <c r="H297" s="369" t="str">
        <f t="shared" ca="1" si="71"/>
        <v/>
      </c>
      <c r="I297" s="369" t="str">
        <f t="shared" ca="1" si="71"/>
        <v/>
      </c>
      <c r="J297" s="369" t="str">
        <f t="shared" ca="1" si="71"/>
        <v/>
      </c>
      <c r="K297" s="369" t="str">
        <f t="shared" ca="1" si="71"/>
        <v/>
      </c>
      <c r="L297" s="369" t="str">
        <f t="shared" ca="1" si="71"/>
        <v/>
      </c>
      <c r="M297" s="369" t="str">
        <f t="shared" ca="1" si="71"/>
        <v/>
      </c>
    </row>
    <row r="298" spans="1:15" ht="15" customHeight="1" x14ac:dyDescent="0.15">
      <c r="A298" s="26"/>
      <c r="B298" s="370" t="str">
        <f t="shared" ca="1" si="66"/>
        <v/>
      </c>
      <c r="C298" s="368" t="str">
        <f t="shared" ca="1" si="70"/>
        <v/>
      </c>
      <c r="D298" s="368" t="str">
        <f t="shared" ca="1" si="67"/>
        <v/>
      </c>
      <c r="E298" s="368" t="str">
        <f t="shared" ca="1" si="68"/>
        <v/>
      </c>
      <c r="F298" s="369" t="str">
        <f t="shared" ca="1" si="69"/>
        <v/>
      </c>
      <c r="G298" s="369" t="str">
        <f t="shared" ca="1" si="71"/>
        <v/>
      </c>
      <c r="H298" s="369" t="str">
        <f t="shared" ca="1" si="71"/>
        <v/>
      </c>
      <c r="I298" s="369" t="str">
        <f t="shared" ca="1" si="71"/>
        <v/>
      </c>
      <c r="J298" s="369" t="str">
        <f t="shared" ca="1" si="71"/>
        <v/>
      </c>
      <c r="K298" s="369" t="str">
        <f t="shared" ca="1" si="71"/>
        <v/>
      </c>
      <c r="L298" s="369" t="str">
        <f t="shared" ca="1" si="71"/>
        <v/>
      </c>
      <c r="M298" s="369" t="str">
        <f t="shared" ca="1" si="71"/>
        <v/>
      </c>
    </row>
    <row r="299" spans="1:15" ht="15" customHeight="1" x14ac:dyDescent="0.15">
      <c r="A299" s="26"/>
      <c r="B299" s="370" t="str">
        <f t="shared" ca="1" si="66"/>
        <v/>
      </c>
      <c r="C299" s="368" t="str">
        <f t="shared" ca="1" si="70"/>
        <v/>
      </c>
      <c r="D299" s="368" t="str">
        <f t="shared" ca="1" si="67"/>
        <v/>
      </c>
      <c r="E299" s="368" t="str">
        <f t="shared" ca="1" si="68"/>
        <v/>
      </c>
      <c r="F299" s="369" t="str">
        <f t="shared" ca="1" si="69"/>
        <v/>
      </c>
      <c r="G299" s="369" t="str">
        <f t="shared" ca="1" si="71"/>
        <v/>
      </c>
      <c r="H299" s="369" t="str">
        <f t="shared" ca="1" si="71"/>
        <v/>
      </c>
      <c r="I299" s="369" t="str">
        <f t="shared" ca="1" si="71"/>
        <v/>
      </c>
      <c r="J299" s="369" t="str">
        <f t="shared" ca="1" si="71"/>
        <v/>
      </c>
      <c r="K299" s="369" t="str">
        <f t="shared" ca="1" si="71"/>
        <v/>
      </c>
      <c r="L299" s="369" t="str">
        <f t="shared" ca="1" si="71"/>
        <v/>
      </c>
      <c r="M299" s="369" t="str">
        <f t="shared" ca="1" si="71"/>
        <v/>
      </c>
    </row>
    <row r="300" spans="1:15" ht="15" customHeight="1" x14ac:dyDescent="0.15">
      <c r="A300" s="26"/>
      <c r="B300" s="370" t="str">
        <f t="shared" ca="1" si="66"/>
        <v/>
      </c>
      <c r="C300" s="368" t="str">
        <f t="shared" ca="1" si="70"/>
        <v/>
      </c>
      <c r="D300" s="368" t="str">
        <f t="shared" ca="1" si="67"/>
        <v/>
      </c>
      <c r="E300" s="368" t="str">
        <f t="shared" ca="1" si="68"/>
        <v/>
      </c>
      <c r="F300" s="369" t="str">
        <f t="shared" ca="1" si="69"/>
        <v/>
      </c>
      <c r="G300" s="369" t="str">
        <f t="shared" ca="1" si="71"/>
        <v/>
      </c>
      <c r="H300" s="369" t="str">
        <f t="shared" ca="1" si="71"/>
        <v/>
      </c>
      <c r="I300" s="369" t="str">
        <f t="shared" ca="1" si="71"/>
        <v/>
      </c>
      <c r="J300" s="369" t="str">
        <f t="shared" ca="1" si="71"/>
        <v/>
      </c>
      <c r="K300" s="369" t="str">
        <f t="shared" ca="1" si="71"/>
        <v/>
      </c>
      <c r="L300" s="369" t="str">
        <f t="shared" ca="1" si="71"/>
        <v/>
      </c>
      <c r="M300" s="369" t="str">
        <f t="shared" ca="1" si="71"/>
        <v/>
      </c>
    </row>
    <row r="301" spans="1:15" ht="15" customHeight="1" x14ac:dyDescent="0.15">
      <c r="A301" s="26"/>
      <c r="B301" s="370" t="str">
        <f t="shared" ca="1" si="66"/>
        <v/>
      </c>
      <c r="C301" s="368" t="str">
        <f t="shared" ca="1" si="70"/>
        <v/>
      </c>
      <c r="D301" s="368" t="str">
        <f t="shared" ca="1" si="67"/>
        <v/>
      </c>
      <c r="E301" s="368" t="str">
        <f t="shared" ca="1" si="68"/>
        <v/>
      </c>
      <c r="F301" s="369" t="str">
        <f t="shared" ca="1" si="69"/>
        <v/>
      </c>
      <c r="G301" s="369" t="str">
        <f t="shared" ca="1" si="71"/>
        <v/>
      </c>
      <c r="H301" s="369" t="str">
        <f t="shared" ca="1" si="71"/>
        <v/>
      </c>
      <c r="I301" s="369" t="str">
        <f t="shared" ca="1" si="71"/>
        <v/>
      </c>
      <c r="J301" s="369" t="str">
        <f t="shared" ca="1" si="71"/>
        <v/>
      </c>
      <c r="K301" s="369" t="str">
        <f t="shared" ca="1" si="71"/>
        <v/>
      </c>
      <c r="L301" s="369" t="str">
        <f t="shared" ca="1" si="71"/>
        <v/>
      </c>
      <c r="M301" s="369" t="str">
        <f t="shared" ca="1" si="71"/>
        <v/>
      </c>
    </row>
    <row r="302" spans="1:15" ht="15" customHeight="1" x14ac:dyDescent="0.15">
      <c r="A302" s="26"/>
      <c r="B302" s="370" t="str">
        <f t="shared" ca="1" si="66"/>
        <v/>
      </c>
      <c r="C302" s="368" t="str">
        <f t="shared" ca="1" si="70"/>
        <v/>
      </c>
      <c r="D302" s="368" t="str">
        <f t="shared" ca="1" si="67"/>
        <v/>
      </c>
      <c r="E302" s="368" t="str">
        <f t="shared" ca="1" si="68"/>
        <v/>
      </c>
      <c r="F302" s="369" t="str">
        <f t="shared" ca="1" si="69"/>
        <v/>
      </c>
      <c r="G302" s="369" t="str">
        <f t="shared" ca="1" si="71"/>
        <v/>
      </c>
      <c r="H302" s="369" t="str">
        <f t="shared" ca="1" si="71"/>
        <v/>
      </c>
      <c r="I302" s="369" t="str">
        <f t="shared" ca="1" si="71"/>
        <v/>
      </c>
      <c r="J302" s="369" t="str">
        <f t="shared" ca="1" si="71"/>
        <v/>
      </c>
      <c r="K302" s="369" t="str">
        <f t="shared" ca="1" si="71"/>
        <v/>
      </c>
      <c r="L302" s="369" t="str">
        <f t="shared" ca="1" si="71"/>
        <v/>
      </c>
      <c r="M302" s="369" t="str">
        <f t="shared" ca="1" si="71"/>
        <v/>
      </c>
    </row>
    <row r="303" spans="1:15" ht="15" customHeight="1" x14ac:dyDescent="0.15">
      <c r="A303" s="26"/>
      <c r="B303" s="370" t="str">
        <f t="shared" ca="1" si="66"/>
        <v/>
      </c>
      <c r="C303" s="368" t="str">
        <f t="shared" ca="1" si="70"/>
        <v/>
      </c>
      <c r="D303" s="368" t="str">
        <f t="shared" ca="1" si="67"/>
        <v/>
      </c>
      <c r="E303" s="368" t="str">
        <f t="shared" ca="1" si="68"/>
        <v/>
      </c>
      <c r="F303" s="369" t="str">
        <f t="shared" ca="1" si="69"/>
        <v/>
      </c>
      <c r="G303" s="369" t="str">
        <f t="shared" ca="1" si="71"/>
        <v/>
      </c>
      <c r="H303" s="369" t="str">
        <f t="shared" ca="1" si="71"/>
        <v/>
      </c>
      <c r="I303" s="369" t="str">
        <f t="shared" ca="1" si="71"/>
        <v/>
      </c>
      <c r="J303" s="369" t="str">
        <f t="shared" ca="1" si="71"/>
        <v/>
      </c>
      <c r="K303" s="369" t="str">
        <f t="shared" ca="1" si="71"/>
        <v/>
      </c>
      <c r="L303" s="369" t="str">
        <f t="shared" ca="1" si="71"/>
        <v/>
      </c>
      <c r="M303" s="369" t="str">
        <f t="shared" ca="1" si="71"/>
        <v/>
      </c>
    </row>
    <row r="304" spans="1:15" ht="15" customHeight="1" x14ac:dyDescent="0.15">
      <c r="A304" s="26"/>
      <c r="B304" s="370" t="str">
        <f t="shared" ca="1" si="66"/>
        <v/>
      </c>
      <c r="C304" s="368" t="str">
        <f t="shared" ca="1" si="70"/>
        <v/>
      </c>
      <c r="D304" s="368" t="str">
        <f t="shared" ca="1" si="67"/>
        <v/>
      </c>
      <c r="E304" s="368" t="str">
        <f t="shared" ca="1" si="68"/>
        <v/>
      </c>
      <c r="F304" s="369" t="str">
        <f t="shared" ca="1" si="69"/>
        <v/>
      </c>
      <c r="G304" s="369" t="str">
        <f t="shared" ca="1" si="71"/>
        <v/>
      </c>
      <c r="H304" s="369" t="str">
        <f t="shared" ca="1" si="71"/>
        <v/>
      </c>
      <c r="I304" s="369" t="str">
        <f t="shared" ca="1" si="71"/>
        <v/>
      </c>
      <c r="J304" s="369" t="str">
        <f t="shared" ca="1" si="71"/>
        <v/>
      </c>
      <c r="K304" s="369" t="str">
        <f t="shared" ca="1" si="71"/>
        <v/>
      </c>
      <c r="L304" s="369" t="str">
        <f t="shared" ca="1" si="71"/>
        <v/>
      </c>
      <c r="M304" s="369" t="str">
        <f t="shared" ca="1" si="71"/>
        <v/>
      </c>
    </row>
    <row r="305" spans="1:14" ht="15" customHeight="1" x14ac:dyDescent="0.15">
      <c r="A305" s="26"/>
      <c r="B305" s="370" t="str">
        <f t="shared" ca="1" si="66"/>
        <v/>
      </c>
      <c r="C305" s="368" t="str">
        <f t="shared" ca="1" si="70"/>
        <v/>
      </c>
      <c r="D305" s="368" t="str">
        <f t="shared" ca="1" si="67"/>
        <v/>
      </c>
      <c r="E305" s="368" t="str">
        <f t="shared" ca="1" si="68"/>
        <v/>
      </c>
      <c r="F305" s="369" t="str">
        <f t="shared" ca="1" si="69"/>
        <v/>
      </c>
      <c r="G305" s="369" t="str">
        <f t="shared" ca="1" si="71"/>
        <v/>
      </c>
      <c r="H305" s="369" t="str">
        <f t="shared" ca="1" si="71"/>
        <v/>
      </c>
      <c r="I305" s="369" t="str">
        <f t="shared" ca="1" si="71"/>
        <v/>
      </c>
      <c r="J305" s="369" t="str">
        <f t="shared" ca="1" si="71"/>
        <v/>
      </c>
      <c r="K305" s="369" t="str">
        <f t="shared" ca="1" si="71"/>
        <v/>
      </c>
      <c r="L305" s="369" t="str">
        <f t="shared" ca="1" si="71"/>
        <v/>
      </c>
      <c r="M305" s="369" t="str">
        <f t="shared" ca="1" si="71"/>
        <v/>
      </c>
    </row>
    <row r="306" spans="1:14" ht="15" customHeight="1" x14ac:dyDescent="0.15">
      <c r="A306" s="26"/>
      <c r="B306" s="370" t="str">
        <f t="shared" ca="1" si="66"/>
        <v/>
      </c>
      <c r="C306" s="368" t="str">
        <f t="shared" ca="1" si="70"/>
        <v/>
      </c>
      <c r="D306" s="368" t="str">
        <f t="shared" ca="1" si="67"/>
        <v/>
      </c>
      <c r="E306" s="368" t="str">
        <f t="shared" ca="1" si="68"/>
        <v/>
      </c>
      <c r="F306" s="369" t="str">
        <f t="shared" ca="1" si="69"/>
        <v/>
      </c>
      <c r="G306" s="369" t="str">
        <f t="shared" ref="G306:M314" ca="1" si="72">IFERROR(IF(NOT($E306 = 7), "",INDIRECT($C306 &amp;"!" &amp;ADDRESS($D306,  COLUMN(INDIRECT(INDEX($AD$194:$AD$217, MATCH($C306, $Z$194:$Z$204, 0)) &amp; $D306)) +  G$195 - 1))), "")</f>
        <v/>
      </c>
      <c r="H306" s="369" t="str">
        <f t="shared" ca="1" si="72"/>
        <v/>
      </c>
      <c r="I306" s="369" t="str">
        <f t="shared" ca="1" si="72"/>
        <v/>
      </c>
      <c r="J306" s="369" t="str">
        <f t="shared" ca="1" si="72"/>
        <v/>
      </c>
      <c r="K306" s="369" t="str">
        <f t="shared" ca="1" si="72"/>
        <v/>
      </c>
      <c r="L306" s="369" t="str">
        <f t="shared" ca="1" si="72"/>
        <v/>
      </c>
      <c r="M306" s="369" t="str">
        <f t="shared" ca="1" si="72"/>
        <v/>
      </c>
    </row>
    <row r="307" spans="1:14" ht="15" customHeight="1" x14ac:dyDescent="0.15">
      <c r="A307" s="26"/>
      <c r="B307" s="370" t="str">
        <f t="shared" ca="1" si="66"/>
        <v/>
      </c>
      <c r="C307" s="368" t="str">
        <f t="shared" ca="1" si="70"/>
        <v/>
      </c>
      <c r="D307" s="368" t="str">
        <f t="shared" ca="1" si="67"/>
        <v/>
      </c>
      <c r="E307" s="368" t="str">
        <f t="shared" ca="1" si="68"/>
        <v/>
      </c>
      <c r="F307" s="369" t="str">
        <f t="shared" ca="1" si="69"/>
        <v/>
      </c>
      <c r="G307" s="369" t="str">
        <f t="shared" ca="1" si="72"/>
        <v/>
      </c>
      <c r="H307" s="369" t="str">
        <f t="shared" ca="1" si="72"/>
        <v/>
      </c>
      <c r="I307" s="369" t="str">
        <f t="shared" ca="1" si="72"/>
        <v/>
      </c>
      <c r="J307" s="369" t="str">
        <f t="shared" ca="1" si="72"/>
        <v/>
      </c>
      <c r="K307" s="369" t="str">
        <f t="shared" ca="1" si="72"/>
        <v/>
      </c>
      <c r="L307" s="369" t="str">
        <f t="shared" ca="1" si="72"/>
        <v/>
      </c>
      <c r="M307" s="369" t="str">
        <f t="shared" ca="1" si="72"/>
        <v/>
      </c>
    </row>
    <row r="308" spans="1:14" ht="15" customHeight="1" x14ac:dyDescent="0.15">
      <c r="A308" s="26"/>
      <c r="B308" s="370" t="str">
        <f t="shared" ca="1" si="66"/>
        <v/>
      </c>
      <c r="C308" s="368" t="str">
        <f t="shared" ca="1" si="70"/>
        <v/>
      </c>
      <c r="D308" s="368" t="str">
        <f t="shared" ca="1" si="67"/>
        <v/>
      </c>
      <c r="E308" s="368" t="str">
        <f t="shared" ca="1" si="68"/>
        <v/>
      </c>
      <c r="F308" s="369" t="str">
        <f t="shared" ca="1" si="69"/>
        <v/>
      </c>
      <c r="G308" s="369" t="str">
        <f t="shared" ca="1" si="72"/>
        <v/>
      </c>
      <c r="H308" s="369" t="str">
        <f t="shared" ca="1" si="72"/>
        <v/>
      </c>
      <c r="I308" s="369" t="str">
        <f t="shared" ca="1" si="72"/>
        <v/>
      </c>
      <c r="J308" s="369" t="str">
        <f t="shared" ca="1" si="72"/>
        <v/>
      </c>
      <c r="K308" s="369" t="str">
        <f t="shared" ca="1" si="72"/>
        <v/>
      </c>
      <c r="L308" s="369" t="str">
        <f t="shared" ca="1" si="72"/>
        <v/>
      </c>
      <c r="M308" s="369" t="str">
        <f t="shared" ca="1" si="72"/>
        <v/>
      </c>
    </row>
    <row r="309" spans="1:14" ht="15" customHeight="1" x14ac:dyDescent="0.15">
      <c r="A309" s="26"/>
      <c r="B309" s="370" t="str">
        <f t="shared" ca="1" si="66"/>
        <v/>
      </c>
      <c r="C309" s="368" t="str">
        <f t="shared" ca="1" si="70"/>
        <v/>
      </c>
      <c r="D309" s="368" t="str">
        <f t="shared" ca="1" si="67"/>
        <v/>
      </c>
      <c r="E309" s="368" t="str">
        <f t="shared" ca="1" si="68"/>
        <v/>
      </c>
      <c r="F309" s="369" t="str">
        <f t="shared" ca="1" si="69"/>
        <v/>
      </c>
      <c r="G309" s="369" t="str">
        <f t="shared" ca="1" si="72"/>
        <v/>
      </c>
      <c r="H309" s="369" t="str">
        <f t="shared" ca="1" si="72"/>
        <v/>
      </c>
      <c r="I309" s="369" t="str">
        <f t="shared" ca="1" si="72"/>
        <v/>
      </c>
      <c r="J309" s="369" t="str">
        <f t="shared" ca="1" si="72"/>
        <v/>
      </c>
      <c r="K309" s="369" t="str">
        <f t="shared" ca="1" si="72"/>
        <v/>
      </c>
      <c r="L309" s="369" t="str">
        <f t="shared" ca="1" si="72"/>
        <v/>
      </c>
      <c r="M309" s="369" t="str">
        <f t="shared" ca="1" si="72"/>
        <v/>
      </c>
    </row>
    <row r="310" spans="1:14" ht="15" customHeight="1" x14ac:dyDescent="0.15">
      <c r="A310" s="26"/>
      <c r="B310" s="370" t="str">
        <f t="shared" ca="1" si="66"/>
        <v/>
      </c>
      <c r="C310" s="368" t="str">
        <f t="shared" ca="1" si="70"/>
        <v/>
      </c>
      <c r="D310" s="368" t="str">
        <f t="shared" ca="1" si="67"/>
        <v/>
      </c>
      <c r="E310" s="368" t="str">
        <f t="shared" ca="1" si="68"/>
        <v/>
      </c>
      <c r="F310" s="369" t="str">
        <f t="shared" ca="1" si="69"/>
        <v/>
      </c>
      <c r="G310" s="369" t="str">
        <f t="shared" ca="1" si="72"/>
        <v/>
      </c>
      <c r="H310" s="369" t="str">
        <f t="shared" ca="1" si="72"/>
        <v/>
      </c>
      <c r="I310" s="369" t="str">
        <f t="shared" ca="1" si="72"/>
        <v/>
      </c>
      <c r="J310" s="369" t="str">
        <f t="shared" ca="1" si="72"/>
        <v/>
      </c>
      <c r="K310" s="369" t="str">
        <f t="shared" ca="1" si="72"/>
        <v/>
      </c>
      <c r="L310" s="369" t="str">
        <f t="shared" ca="1" si="72"/>
        <v/>
      </c>
      <c r="M310" s="369" t="str">
        <f t="shared" ca="1" si="72"/>
        <v/>
      </c>
    </row>
    <row r="311" spans="1:14" ht="15" customHeight="1" x14ac:dyDescent="0.15">
      <c r="A311" s="26"/>
      <c r="B311" s="370" t="str">
        <f t="shared" ca="1" si="66"/>
        <v/>
      </c>
      <c r="C311" s="368" t="str">
        <f t="shared" ca="1" si="70"/>
        <v/>
      </c>
      <c r="D311" s="368" t="str">
        <f t="shared" ca="1" si="67"/>
        <v/>
      </c>
      <c r="E311" s="368" t="str">
        <f t="shared" ca="1" si="68"/>
        <v/>
      </c>
      <c r="F311" s="369" t="str">
        <f t="shared" ca="1" si="69"/>
        <v/>
      </c>
      <c r="G311" s="369" t="str">
        <f t="shared" ca="1" si="72"/>
        <v/>
      </c>
      <c r="H311" s="369" t="str">
        <f t="shared" ca="1" si="72"/>
        <v/>
      </c>
      <c r="I311" s="369" t="str">
        <f t="shared" ca="1" si="72"/>
        <v/>
      </c>
      <c r="J311" s="369" t="str">
        <f t="shared" ca="1" si="72"/>
        <v/>
      </c>
      <c r="K311" s="369" t="str">
        <f t="shared" ca="1" si="72"/>
        <v/>
      </c>
      <c r="L311" s="369" t="str">
        <f t="shared" ca="1" si="72"/>
        <v/>
      </c>
      <c r="M311" s="369" t="str">
        <f t="shared" ca="1" si="72"/>
        <v/>
      </c>
    </row>
    <row r="312" spans="1:14" ht="15" customHeight="1" x14ac:dyDescent="0.15">
      <c r="A312" s="26"/>
      <c r="B312" s="370" t="str">
        <f t="shared" ca="1" si="66"/>
        <v/>
      </c>
      <c r="C312" s="368" t="str">
        <f t="shared" ca="1" si="70"/>
        <v/>
      </c>
      <c r="D312" s="368" t="str">
        <f t="shared" ca="1" si="67"/>
        <v/>
      </c>
      <c r="E312" s="368" t="str">
        <f t="shared" ca="1" si="68"/>
        <v/>
      </c>
      <c r="F312" s="369" t="str">
        <f t="shared" ca="1" si="69"/>
        <v/>
      </c>
      <c r="G312" s="369" t="str">
        <f t="shared" ca="1" si="72"/>
        <v/>
      </c>
      <c r="H312" s="369" t="str">
        <f t="shared" ca="1" si="72"/>
        <v/>
      </c>
      <c r="I312" s="369" t="str">
        <f t="shared" ca="1" si="72"/>
        <v/>
      </c>
      <c r="J312" s="369" t="str">
        <f t="shared" ca="1" si="72"/>
        <v/>
      </c>
      <c r="K312" s="369" t="str">
        <f t="shared" ca="1" si="72"/>
        <v/>
      </c>
      <c r="L312" s="369" t="str">
        <f t="shared" ca="1" si="72"/>
        <v/>
      </c>
      <c r="M312" s="369" t="str">
        <f t="shared" ca="1" si="72"/>
        <v/>
      </c>
      <c r="N312" s="73"/>
    </row>
    <row r="313" spans="1:14" ht="15" customHeight="1" x14ac:dyDescent="0.15">
      <c r="A313" s="26"/>
      <c r="B313" s="370" t="str">
        <f t="shared" ca="1" si="66"/>
        <v/>
      </c>
      <c r="C313" s="368" t="str">
        <f t="shared" ca="1" si="70"/>
        <v/>
      </c>
      <c r="D313" s="368" t="str">
        <f t="shared" ca="1" si="67"/>
        <v/>
      </c>
      <c r="E313" s="368" t="str">
        <f t="shared" ca="1" si="68"/>
        <v/>
      </c>
      <c r="F313" s="369" t="str">
        <f t="shared" ca="1" si="69"/>
        <v/>
      </c>
      <c r="G313" s="369" t="str">
        <f t="shared" ca="1" si="72"/>
        <v/>
      </c>
      <c r="H313" s="369" t="str">
        <f t="shared" ca="1" si="72"/>
        <v/>
      </c>
      <c r="I313" s="369" t="str">
        <f t="shared" ca="1" si="72"/>
        <v/>
      </c>
      <c r="J313" s="369" t="str">
        <f t="shared" ca="1" si="72"/>
        <v/>
      </c>
      <c r="K313" s="369" t="str">
        <f t="shared" ca="1" si="72"/>
        <v/>
      </c>
      <c r="L313" s="369" t="str">
        <f t="shared" ca="1" si="72"/>
        <v/>
      </c>
      <c r="M313" s="369" t="str">
        <f t="shared" ca="1" si="72"/>
        <v/>
      </c>
      <c r="N313" s="73"/>
    </row>
    <row r="314" spans="1:14" ht="15" customHeight="1" x14ac:dyDescent="0.15">
      <c r="A314" s="26"/>
      <c r="B314" s="370" t="str">
        <f t="shared" ca="1" si="66"/>
        <v/>
      </c>
      <c r="C314" s="368" t="str">
        <f t="shared" ca="1" si="70"/>
        <v/>
      </c>
      <c r="D314" s="368" t="str">
        <f t="shared" ca="1" si="67"/>
        <v/>
      </c>
      <c r="E314" s="368" t="str">
        <f t="shared" ca="1" si="68"/>
        <v/>
      </c>
      <c r="F314" s="369" t="str">
        <f t="shared" ca="1" si="69"/>
        <v/>
      </c>
      <c r="G314" s="369" t="str">
        <f t="shared" ca="1" si="72"/>
        <v/>
      </c>
      <c r="H314" s="369" t="str">
        <f t="shared" ca="1" si="72"/>
        <v/>
      </c>
      <c r="I314" s="369" t="str">
        <f t="shared" ca="1" si="72"/>
        <v/>
      </c>
      <c r="J314" s="369" t="str">
        <f t="shared" ca="1" si="72"/>
        <v/>
      </c>
      <c r="K314" s="369" t="str">
        <f t="shared" ca="1" si="72"/>
        <v/>
      </c>
      <c r="L314" s="369" t="str">
        <f t="shared" ca="1" si="72"/>
        <v/>
      </c>
      <c r="M314" s="369" t="str">
        <f t="shared" ca="1" si="72"/>
        <v/>
      </c>
      <c r="N314" s="73"/>
    </row>
    <row r="315" spans="1:14" ht="15" customHeight="1" x14ac:dyDescent="0.15">
      <c r="A315" s="26"/>
    </row>
    <row r="316" spans="1:14" ht="15" customHeight="1" x14ac:dyDescent="0.15">
      <c r="A316" s="26"/>
    </row>
    <row r="317" spans="1:14" ht="15" customHeight="1" x14ac:dyDescent="0.15">
      <c r="A317" s="26"/>
    </row>
    <row r="318" spans="1:14" ht="15" customHeight="1" x14ac:dyDescent="0.15">
      <c r="A318" s="26"/>
    </row>
    <row r="319" spans="1:14" ht="15" customHeight="1" x14ac:dyDescent="0.15">
      <c r="A319" s="26"/>
    </row>
    <row r="320" spans="1:14" ht="15" customHeight="1" x14ac:dyDescent="0.15">
      <c r="A320" s="26"/>
    </row>
    <row r="321" spans="1:1" ht="15" customHeight="1" x14ac:dyDescent="0.15">
      <c r="A321" s="26"/>
    </row>
    <row r="322" spans="1:1" ht="15" customHeight="1" x14ac:dyDescent="0.15">
      <c r="A322" s="26"/>
    </row>
    <row r="323" spans="1:1" ht="15" customHeight="1" x14ac:dyDescent="0.15">
      <c r="A323" s="26"/>
    </row>
    <row r="324" spans="1:1" ht="15" customHeight="1" x14ac:dyDescent="0.15">
      <c r="A324" s="26"/>
    </row>
    <row r="325" spans="1:1" ht="15" customHeight="1" x14ac:dyDescent="0.15">
      <c r="A325" s="26"/>
    </row>
    <row r="326" spans="1:1" ht="15" customHeight="1" x14ac:dyDescent="0.15">
      <c r="A326" s="26"/>
    </row>
    <row r="327" spans="1:1" ht="15" customHeight="1" x14ac:dyDescent="0.15">
      <c r="A327" s="26"/>
    </row>
    <row r="328" spans="1:1" ht="15" customHeight="1" x14ac:dyDescent="0.15">
      <c r="A328" s="26"/>
    </row>
    <row r="329" spans="1:1" ht="15" customHeight="1" x14ac:dyDescent="0.15">
      <c r="A329" s="26"/>
    </row>
    <row r="330" spans="1:1" ht="15" customHeight="1" x14ac:dyDescent="0.15">
      <c r="A330" s="26"/>
    </row>
    <row r="331" spans="1:1" ht="15" customHeight="1" x14ac:dyDescent="0.15">
      <c r="A331" s="26"/>
    </row>
    <row r="332" spans="1:1" ht="15" customHeight="1" x14ac:dyDescent="0.15">
      <c r="A332" s="26"/>
    </row>
    <row r="333" spans="1:1" ht="15" customHeight="1" x14ac:dyDescent="0.15">
      <c r="A333" s="26"/>
    </row>
    <row r="334" spans="1:1" ht="15" customHeight="1" x14ac:dyDescent="0.15">
      <c r="A334" s="26"/>
    </row>
    <row r="335" spans="1:1" ht="15" customHeight="1" x14ac:dyDescent="0.15">
      <c r="A335" s="26"/>
    </row>
    <row r="336" spans="1:1" ht="15" customHeight="1" x14ac:dyDescent="0.15">
      <c r="A336" s="26"/>
    </row>
    <row r="337" spans="1:1" ht="15" customHeight="1" x14ac:dyDescent="0.15">
      <c r="A337" s="26"/>
    </row>
    <row r="338" spans="1:1" ht="15" customHeight="1" x14ac:dyDescent="0.15">
      <c r="A338" s="26"/>
    </row>
    <row r="339" spans="1:1" ht="15" customHeight="1" x14ac:dyDescent="0.15">
      <c r="A339" s="26"/>
    </row>
    <row r="340" spans="1:1" ht="15" customHeight="1" x14ac:dyDescent="0.15">
      <c r="A340" s="26"/>
    </row>
    <row r="341" spans="1:1" ht="15" customHeight="1" x14ac:dyDescent="0.15">
      <c r="A341" s="26"/>
    </row>
    <row r="342" spans="1:1" ht="15" customHeight="1" x14ac:dyDescent="0.15">
      <c r="A342" s="26"/>
    </row>
    <row r="343" spans="1:1" ht="15" customHeight="1" x14ac:dyDescent="0.15">
      <c r="A343" s="26"/>
    </row>
    <row r="344" spans="1:1" ht="15" customHeight="1" x14ac:dyDescent="0.15">
      <c r="A344" s="26"/>
    </row>
    <row r="345" spans="1:1" ht="15" customHeight="1" x14ac:dyDescent="0.15">
      <c r="A345" s="26"/>
    </row>
    <row r="346" spans="1:1" ht="15" customHeight="1" x14ac:dyDescent="0.15">
      <c r="A346" s="26"/>
    </row>
    <row r="347" spans="1:1" ht="15" customHeight="1" x14ac:dyDescent="0.15">
      <c r="A347" s="26"/>
    </row>
    <row r="348" spans="1:1" ht="15" customHeight="1" x14ac:dyDescent="0.15">
      <c r="A348" s="26"/>
    </row>
    <row r="349" spans="1:1" ht="15" customHeight="1" x14ac:dyDescent="0.15">
      <c r="A349" s="26"/>
    </row>
    <row r="350" spans="1:1" ht="15" customHeight="1" x14ac:dyDescent="0.15">
      <c r="A350" s="26"/>
    </row>
    <row r="351" spans="1:1" ht="15" customHeight="1" x14ac:dyDescent="0.15">
      <c r="A351" s="26"/>
    </row>
    <row r="352" spans="1:1" ht="15" customHeight="1" x14ac:dyDescent="0.15">
      <c r="A352" s="26"/>
    </row>
    <row r="353" spans="1:1" ht="15" customHeight="1" x14ac:dyDescent="0.15">
      <c r="A353" s="26"/>
    </row>
    <row r="354" spans="1:1" ht="15" customHeight="1" x14ac:dyDescent="0.15">
      <c r="A354" s="26"/>
    </row>
    <row r="355" spans="1:1" ht="15" customHeight="1" x14ac:dyDescent="0.15">
      <c r="A355" s="26"/>
    </row>
    <row r="356" spans="1:1" ht="15" customHeight="1" x14ac:dyDescent="0.15">
      <c r="A356" s="26"/>
    </row>
    <row r="357" spans="1:1" ht="15" customHeight="1" x14ac:dyDescent="0.15">
      <c r="A357" s="26"/>
    </row>
    <row r="358" spans="1:1" ht="15" customHeight="1" x14ac:dyDescent="0.15">
      <c r="A358" s="26"/>
    </row>
    <row r="359" spans="1:1" ht="15" customHeight="1" x14ac:dyDescent="0.15">
      <c r="A359" s="26"/>
    </row>
    <row r="360" spans="1:1" ht="15" customHeight="1" x14ac:dyDescent="0.15">
      <c r="A360" s="26"/>
    </row>
    <row r="361" spans="1:1" ht="15" customHeight="1" x14ac:dyDescent="0.15">
      <c r="A361" s="26"/>
    </row>
    <row r="362" spans="1:1" ht="15" customHeight="1" x14ac:dyDescent="0.15">
      <c r="A362" s="26"/>
    </row>
    <row r="363" spans="1:1" ht="15" customHeight="1" x14ac:dyDescent="0.15">
      <c r="A363" s="26"/>
    </row>
    <row r="364" spans="1:1" ht="15" customHeight="1" x14ac:dyDescent="0.15">
      <c r="A364" s="26"/>
    </row>
    <row r="365" spans="1:1" ht="15" customHeight="1" x14ac:dyDescent="0.15">
      <c r="A365" s="26"/>
    </row>
    <row r="366" spans="1:1" ht="15" customHeight="1" x14ac:dyDescent="0.15">
      <c r="A366" s="26"/>
    </row>
    <row r="367" spans="1:1" ht="15" customHeight="1" x14ac:dyDescent="0.15">
      <c r="A367" s="26"/>
    </row>
    <row r="368" spans="1:1" ht="15" customHeight="1" x14ac:dyDescent="0.15">
      <c r="A368" s="26"/>
    </row>
    <row r="369" spans="1:1" ht="15" customHeight="1" x14ac:dyDescent="0.15">
      <c r="A369" s="26"/>
    </row>
    <row r="370" spans="1:1" ht="15" customHeight="1" x14ac:dyDescent="0.15">
      <c r="A370" s="26"/>
    </row>
    <row r="371" spans="1:1" ht="15" customHeight="1" x14ac:dyDescent="0.15">
      <c r="A371" s="26"/>
    </row>
    <row r="372" spans="1:1" ht="15" customHeight="1" x14ac:dyDescent="0.15">
      <c r="A372" s="26"/>
    </row>
    <row r="373" spans="1:1" ht="15" customHeight="1" x14ac:dyDescent="0.15">
      <c r="A373" s="26"/>
    </row>
    <row r="374" spans="1:1" ht="15" customHeight="1" x14ac:dyDescent="0.15">
      <c r="A374" s="26"/>
    </row>
    <row r="375" spans="1:1" ht="15" customHeight="1" x14ac:dyDescent="0.15">
      <c r="A375" s="26"/>
    </row>
    <row r="376" spans="1:1" ht="15" customHeight="1" x14ac:dyDescent="0.15">
      <c r="A376" s="26"/>
    </row>
    <row r="377" spans="1:1" ht="15" customHeight="1" x14ac:dyDescent="0.15">
      <c r="A377" s="26"/>
    </row>
    <row r="378" spans="1:1" ht="15" customHeight="1" x14ac:dyDescent="0.15">
      <c r="A378" s="26"/>
    </row>
    <row r="379" spans="1:1" ht="15" customHeight="1" x14ac:dyDescent="0.15">
      <c r="A379" s="26"/>
    </row>
    <row r="380" spans="1:1" ht="15" customHeight="1" x14ac:dyDescent="0.15">
      <c r="A380" s="26"/>
    </row>
    <row r="381" spans="1:1" ht="15" customHeight="1" x14ac:dyDescent="0.15">
      <c r="A381" s="26"/>
    </row>
    <row r="382" spans="1:1" ht="15" customHeight="1" x14ac:dyDescent="0.15">
      <c r="A382" s="26"/>
    </row>
    <row r="383" spans="1:1" ht="15" customHeight="1" x14ac:dyDescent="0.15">
      <c r="A383" s="26"/>
    </row>
    <row r="384" spans="1:1" ht="15" customHeight="1" x14ac:dyDescent="0.15">
      <c r="A384" s="26"/>
    </row>
    <row r="385" spans="1:1" ht="15" customHeight="1" x14ac:dyDescent="0.15">
      <c r="A385" s="26"/>
    </row>
    <row r="386" spans="1:1" ht="15" customHeight="1" x14ac:dyDescent="0.15">
      <c r="A386" s="26"/>
    </row>
    <row r="387" spans="1:1" ht="15" customHeight="1" x14ac:dyDescent="0.15">
      <c r="A387" s="26"/>
    </row>
    <row r="388" spans="1:1" ht="15" customHeight="1" x14ac:dyDescent="0.15">
      <c r="A388" s="26"/>
    </row>
    <row r="389" spans="1:1" ht="15" customHeight="1" x14ac:dyDescent="0.15">
      <c r="A389" s="26"/>
    </row>
    <row r="390" spans="1:1" ht="15" customHeight="1" x14ac:dyDescent="0.15">
      <c r="A390" s="26"/>
    </row>
    <row r="391" spans="1:1" ht="15" customHeight="1" x14ac:dyDescent="0.15">
      <c r="A391" s="26"/>
    </row>
    <row r="392" spans="1:1" ht="15" customHeight="1" x14ac:dyDescent="0.15">
      <c r="A392" s="26"/>
    </row>
    <row r="393" spans="1:1" ht="15" customHeight="1" x14ac:dyDescent="0.15">
      <c r="A393" s="26"/>
    </row>
    <row r="394" spans="1:1" ht="15" customHeight="1" x14ac:dyDescent="0.15">
      <c r="A394" s="26"/>
    </row>
    <row r="395" spans="1:1" ht="15" customHeight="1" x14ac:dyDescent="0.15">
      <c r="A395" s="26"/>
    </row>
    <row r="396" spans="1:1" ht="15" customHeight="1" x14ac:dyDescent="0.15">
      <c r="A396" s="26"/>
    </row>
    <row r="397" spans="1:1" ht="15" customHeight="1" x14ac:dyDescent="0.15">
      <c r="A397" s="26"/>
    </row>
    <row r="398" spans="1:1" ht="15" customHeight="1" x14ac:dyDescent="0.15">
      <c r="A398" s="26"/>
    </row>
    <row r="399" spans="1:1" ht="15" customHeight="1" x14ac:dyDescent="0.15">
      <c r="A399" s="26"/>
    </row>
    <row r="400" spans="1:1" ht="15" customHeight="1" x14ac:dyDescent="0.15">
      <c r="A400" s="26"/>
    </row>
    <row r="401" spans="1:1" ht="15" customHeight="1" x14ac:dyDescent="0.15">
      <c r="A401" s="26"/>
    </row>
    <row r="402" spans="1:1" ht="15" customHeight="1" x14ac:dyDescent="0.15">
      <c r="A402" s="26"/>
    </row>
    <row r="403" spans="1:1" ht="15" customHeight="1" x14ac:dyDescent="0.15">
      <c r="A403" s="26"/>
    </row>
    <row r="404" spans="1:1" ht="15" customHeight="1" x14ac:dyDescent="0.15">
      <c r="A404" s="26"/>
    </row>
    <row r="405" spans="1:1" ht="15" customHeight="1" x14ac:dyDescent="0.15">
      <c r="A405" s="26"/>
    </row>
    <row r="406" spans="1:1" ht="15" customHeight="1" x14ac:dyDescent="0.15">
      <c r="A406" s="26"/>
    </row>
    <row r="407" spans="1:1" ht="15" customHeight="1" x14ac:dyDescent="0.15">
      <c r="A407" s="26"/>
    </row>
    <row r="408" spans="1:1" ht="15" customHeight="1" x14ac:dyDescent="0.15">
      <c r="A408" s="26"/>
    </row>
    <row r="409" spans="1:1" ht="15" customHeight="1" x14ac:dyDescent="0.15">
      <c r="A409" s="26"/>
    </row>
    <row r="410" spans="1:1" ht="15" customHeight="1" x14ac:dyDescent="0.15">
      <c r="A410" s="26"/>
    </row>
    <row r="411" spans="1:1" ht="15" customHeight="1" x14ac:dyDescent="0.15">
      <c r="A411" s="26"/>
    </row>
    <row r="412" spans="1:1" ht="15" customHeight="1" x14ac:dyDescent="0.15">
      <c r="A412" s="26"/>
    </row>
    <row r="413" spans="1:1" ht="15" customHeight="1" x14ac:dyDescent="0.15">
      <c r="A413" s="26"/>
    </row>
    <row r="414" spans="1:1" ht="15" customHeight="1" x14ac:dyDescent="0.15">
      <c r="A414" s="26"/>
    </row>
    <row r="415" spans="1:1" ht="15" customHeight="1" x14ac:dyDescent="0.15">
      <c r="A415" s="26"/>
    </row>
    <row r="416" spans="1:1" ht="15" customHeight="1" x14ac:dyDescent="0.15">
      <c r="A416" s="26"/>
    </row>
    <row r="417" spans="1:1" ht="15" customHeight="1" x14ac:dyDescent="0.15">
      <c r="A417" s="26"/>
    </row>
    <row r="418" spans="1:1" ht="15" customHeight="1" x14ac:dyDescent="0.15">
      <c r="A418" s="26"/>
    </row>
    <row r="419" spans="1:1" ht="15" customHeight="1" x14ac:dyDescent="0.15">
      <c r="A419" s="26"/>
    </row>
    <row r="420" spans="1:1" ht="15" customHeight="1" x14ac:dyDescent="0.15">
      <c r="A420" s="26"/>
    </row>
    <row r="421" spans="1:1" ht="15" customHeight="1" x14ac:dyDescent="0.15">
      <c r="A421" s="26"/>
    </row>
    <row r="422" spans="1:1" ht="15" customHeight="1" x14ac:dyDescent="0.15">
      <c r="A422" s="26"/>
    </row>
    <row r="423" spans="1:1" ht="15" customHeight="1" x14ac:dyDescent="0.15">
      <c r="A423" s="26"/>
    </row>
    <row r="424" spans="1:1" ht="15" customHeight="1" x14ac:dyDescent="0.15">
      <c r="A424" s="26"/>
    </row>
    <row r="425" spans="1:1" ht="15" customHeight="1" x14ac:dyDescent="0.15">
      <c r="A425" s="26"/>
    </row>
    <row r="426" spans="1:1" ht="15" customHeight="1" x14ac:dyDescent="0.15">
      <c r="A426" s="26"/>
    </row>
    <row r="427" spans="1:1" ht="15" customHeight="1" x14ac:dyDescent="0.15">
      <c r="A427" s="26"/>
    </row>
    <row r="428" spans="1:1" ht="15" customHeight="1" x14ac:dyDescent="0.15">
      <c r="A428" s="26"/>
    </row>
    <row r="429" spans="1:1" ht="15" customHeight="1" x14ac:dyDescent="0.15">
      <c r="A429" s="26"/>
    </row>
    <row r="430" spans="1:1" ht="15" customHeight="1" x14ac:dyDescent="0.15">
      <c r="A430" s="26"/>
    </row>
    <row r="431" spans="1:1" ht="15" customHeight="1" x14ac:dyDescent="0.15">
      <c r="A431" s="26"/>
    </row>
    <row r="432" spans="1:1" ht="15" customHeight="1" x14ac:dyDescent="0.15">
      <c r="A432" s="26"/>
    </row>
    <row r="433" spans="1:1" ht="15" customHeight="1" x14ac:dyDescent="0.15">
      <c r="A433" s="26"/>
    </row>
    <row r="434" spans="1:1" ht="15" customHeight="1" x14ac:dyDescent="0.15">
      <c r="A434" s="26"/>
    </row>
    <row r="435" spans="1:1" ht="15" customHeight="1" x14ac:dyDescent="0.15">
      <c r="A435" s="26"/>
    </row>
    <row r="436" spans="1:1" ht="15" customHeight="1" x14ac:dyDescent="0.15">
      <c r="A436" s="26"/>
    </row>
    <row r="437" spans="1:1" ht="15" customHeight="1" x14ac:dyDescent="0.15">
      <c r="A437" s="26"/>
    </row>
    <row r="438" spans="1:1" ht="15" customHeight="1" x14ac:dyDescent="0.15">
      <c r="A438" s="26"/>
    </row>
    <row r="439" spans="1:1" ht="15" customHeight="1" x14ac:dyDescent="0.15">
      <c r="A439" s="26"/>
    </row>
    <row r="440" spans="1:1" ht="15" customHeight="1" x14ac:dyDescent="0.15">
      <c r="A440" s="26"/>
    </row>
    <row r="441" spans="1:1" ht="15" customHeight="1" x14ac:dyDescent="0.15">
      <c r="A441" s="26"/>
    </row>
    <row r="442" spans="1:1" ht="15" customHeight="1" x14ac:dyDescent="0.15">
      <c r="A442" s="26"/>
    </row>
    <row r="443" spans="1:1" ht="15" customHeight="1" x14ac:dyDescent="0.15">
      <c r="A443" s="26"/>
    </row>
    <row r="444" spans="1:1" ht="15" customHeight="1" x14ac:dyDescent="0.15">
      <c r="A444" s="26"/>
    </row>
    <row r="445" spans="1:1" ht="15" customHeight="1" x14ac:dyDescent="0.15">
      <c r="A445" s="26"/>
    </row>
    <row r="446" spans="1:1" ht="15" customHeight="1" x14ac:dyDescent="0.15">
      <c r="A446" s="26"/>
    </row>
    <row r="447" spans="1:1" ht="15" customHeight="1" x14ac:dyDescent="0.15">
      <c r="A447" s="26"/>
    </row>
    <row r="448" spans="1:1" ht="15" customHeight="1" x14ac:dyDescent="0.15">
      <c r="A448" s="26"/>
    </row>
    <row r="449" spans="1:1" ht="15" customHeight="1" x14ac:dyDescent="0.15">
      <c r="A449" s="26"/>
    </row>
    <row r="450" spans="1:1" ht="15" customHeight="1" x14ac:dyDescent="0.15">
      <c r="A450" s="26"/>
    </row>
    <row r="451" spans="1:1" ht="15" customHeight="1" x14ac:dyDescent="0.15">
      <c r="A451" s="26"/>
    </row>
    <row r="452" spans="1:1" ht="15" customHeight="1" x14ac:dyDescent="0.15">
      <c r="A452" s="26"/>
    </row>
    <row r="453" spans="1:1" ht="15" customHeight="1" x14ac:dyDescent="0.15">
      <c r="A453" s="26"/>
    </row>
    <row r="454" spans="1:1" ht="15" customHeight="1" x14ac:dyDescent="0.15">
      <c r="A454" s="26"/>
    </row>
    <row r="455" spans="1:1" ht="15" customHeight="1" x14ac:dyDescent="0.15">
      <c r="A455" s="26"/>
    </row>
    <row r="456" spans="1:1" ht="15" customHeight="1" x14ac:dyDescent="0.15">
      <c r="A456" s="26"/>
    </row>
    <row r="457" spans="1:1" ht="15" customHeight="1" x14ac:dyDescent="0.15">
      <c r="A457" s="26"/>
    </row>
    <row r="458" spans="1:1" ht="15" customHeight="1" x14ac:dyDescent="0.15">
      <c r="A458" s="26"/>
    </row>
    <row r="459" spans="1:1" ht="15" customHeight="1" x14ac:dyDescent="0.15">
      <c r="A459" s="26"/>
    </row>
    <row r="460" spans="1:1" ht="15" customHeight="1" x14ac:dyDescent="0.15">
      <c r="A460" s="26"/>
    </row>
    <row r="461" spans="1:1" ht="15" customHeight="1" x14ac:dyDescent="0.15">
      <c r="A461" s="26"/>
    </row>
    <row r="462" spans="1:1" ht="15" customHeight="1" x14ac:dyDescent="0.15">
      <c r="A462" s="26"/>
    </row>
    <row r="463" spans="1:1" ht="15" customHeight="1" x14ac:dyDescent="0.15">
      <c r="A463" s="26"/>
    </row>
    <row r="464" spans="1:1" ht="15" customHeight="1" x14ac:dyDescent="0.15">
      <c r="A464" s="26"/>
    </row>
    <row r="465" spans="1:1" ht="15" customHeight="1" x14ac:dyDescent="0.15">
      <c r="A465" s="26"/>
    </row>
    <row r="466" spans="1:1" ht="15" customHeight="1" x14ac:dyDescent="0.15">
      <c r="A466" s="26"/>
    </row>
    <row r="467" spans="1:1" ht="15" customHeight="1" x14ac:dyDescent="0.15">
      <c r="A467" s="26"/>
    </row>
    <row r="468" spans="1:1" ht="15" customHeight="1" x14ac:dyDescent="0.15">
      <c r="A468" s="26"/>
    </row>
    <row r="469" spans="1:1" ht="15" customHeight="1" x14ac:dyDescent="0.15">
      <c r="A469" s="26"/>
    </row>
    <row r="470" spans="1:1" ht="15" customHeight="1" x14ac:dyDescent="0.15">
      <c r="A470" s="26"/>
    </row>
    <row r="471" spans="1:1" ht="15" customHeight="1" x14ac:dyDescent="0.15">
      <c r="A471" s="26"/>
    </row>
    <row r="472" spans="1:1" ht="15" customHeight="1" x14ac:dyDescent="0.15">
      <c r="A472" s="26"/>
    </row>
    <row r="473" spans="1:1" ht="15" customHeight="1" x14ac:dyDescent="0.15">
      <c r="A473" s="26"/>
    </row>
    <row r="474" spans="1:1" ht="15" customHeight="1" x14ac:dyDescent="0.15">
      <c r="A474" s="26"/>
    </row>
    <row r="475" spans="1:1" ht="15" customHeight="1" x14ac:dyDescent="0.15">
      <c r="A475" s="26"/>
    </row>
    <row r="476" spans="1:1" ht="15" customHeight="1" x14ac:dyDescent="0.15">
      <c r="A476" s="26"/>
    </row>
    <row r="477" spans="1:1" ht="15" customHeight="1" x14ac:dyDescent="0.15">
      <c r="A477" s="26"/>
    </row>
    <row r="478" spans="1:1" ht="15" customHeight="1" x14ac:dyDescent="0.15">
      <c r="A478" s="26"/>
    </row>
    <row r="479" spans="1:1" ht="15" customHeight="1" x14ac:dyDescent="0.15">
      <c r="A479" s="26"/>
    </row>
    <row r="480" spans="1:1" ht="15" customHeight="1" x14ac:dyDescent="0.15">
      <c r="A480" s="26"/>
    </row>
    <row r="481" spans="1:1" ht="15" customHeight="1" x14ac:dyDescent="0.15">
      <c r="A481" s="26"/>
    </row>
    <row r="482" spans="1:1" ht="15" customHeight="1" x14ac:dyDescent="0.15">
      <c r="A482" s="26"/>
    </row>
    <row r="483" spans="1:1" ht="15" customHeight="1" x14ac:dyDescent="0.15">
      <c r="A483" s="26"/>
    </row>
    <row r="484" spans="1:1" ht="15" customHeight="1" x14ac:dyDescent="0.15">
      <c r="A484" s="26"/>
    </row>
    <row r="485" spans="1:1" ht="15" customHeight="1" x14ac:dyDescent="0.15">
      <c r="A485" s="26"/>
    </row>
    <row r="486" spans="1:1" ht="15" customHeight="1" x14ac:dyDescent="0.15">
      <c r="A486" s="26"/>
    </row>
    <row r="487" spans="1:1" ht="15" customHeight="1" x14ac:dyDescent="0.15">
      <c r="A487" s="26"/>
    </row>
    <row r="488" spans="1:1" ht="15" customHeight="1" x14ac:dyDescent="0.15">
      <c r="A488" s="26"/>
    </row>
    <row r="489" spans="1:1" ht="15" customHeight="1" x14ac:dyDescent="0.15">
      <c r="A489" s="26"/>
    </row>
    <row r="490" spans="1:1" ht="15" customHeight="1" x14ac:dyDescent="0.15">
      <c r="A490" s="26"/>
    </row>
    <row r="491" spans="1:1" ht="15" customHeight="1" x14ac:dyDescent="0.15">
      <c r="A491" s="26"/>
    </row>
    <row r="492" spans="1:1" ht="15" customHeight="1" x14ac:dyDescent="0.15">
      <c r="A492" s="26"/>
    </row>
    <row r="493" spans="1:1" ht="15" customHeight="1" x14ac:dyDescent="0.15">
      <c r="A493" s="26"/>
    </row>
    <row r="494" spans="1:1" ht="15" customHeight="1" x14ac:dyDescent="0.15">
      <c r="A494" s="26"/>
    </row>
    <row r="495" spans="1:1" ht="15" customHeight="1" x14ac:dyDescent="0.15">
      <c r="A495" s="26"/>
    </row>
    <row r="496" spans="1:1" ht="15" customHeight="1" x14ac:dyDescent="0.15">
      <c r="A496" s="26"/>
    </row>
    <row r="497" spans="1:1" ht="15" customHeight="1" x14ac:dyDescent="0.15">
      <c r="A497" s="26"/>
    </row>
    <row r="498" spans="1:1" ht="15" customHeight="1" x14ac:dyDescent="0.15">
      <c r="A498" s="26"/>
    </row>
    <row r="499" spans="1:1" ht="15" customHeight="1" x14ac:dyDescent="0.15">
      <c r="A499" s="26"/>
    </row>
    <row r="500" spans="1:1" ht="15" customHeight="1" x14ac:dyDescent="0.15">
      <c r="A500" s="26"/>
    </row>
    <row r="501" spans="1:1" ht="15" customHeight="1" x14ac:dyDescent="0.15">
      <c r="A501" s="26"/>
    </row>
    <row r="502" spans="1:1" ht="15" customHeight="1" x14ac:dyDescent="0.15">
      <c r="A502" s="26"/>
    </row>
    <row r="503" spans="1:1" ht="15" customHeight="1" x14ac:dyDescent="0.15">
      <c r="A503" s="26"/>
    </row>
    <row r="504" spans="1:1" ht="15" customHeight="1" x14ac:dyDescent="0.15">
      <c r="A504" s="26"/>
    </row>
    <row r="505" spans="1:1" ht="15" customHeight="1" x14ac:dyDescent="0.15">
      <c r="A505" s="26"/>
    </row>
    <row r="506" spans="1:1" ht="15" customHeight="1" x14ac:dyDescent="0.15">
      <c r="A506" s="26"/>
    </row>
    <row r="507" spans="1:1" ht="15" customHeight="1" x14ac:dyDescent="0.15">
      <c r="A507" s="26"/>
    </row>
    <row r="508" spans="1:1" ht="15" customHeight="1" x14ac:dyDescent="0.15">
      <c r="A508" s="26"/>
    </row>
    <row r="509" spans="1:1" ht="15" customHeight="1" x14ac:dyDescent="0.15">
      <c r="A509" s="26"/>
    </row>
    <row r="510" spans="1:1" ht="15" customHeight="1" x14ac:dyDescent="0.15">
      <c r="A510" s="26"/>
    </row>
    <row r="511" spans="1:1" ht="15" customHeight="1" x14ac:dyDescent="0.15">
      <c r="A511" s="26"/>
    </row>
    <row r="512" spans="1:1" ht="15" customHeight="1" x14ac:dyDescent="0.15">
      <c r="A512" s="26"/>
    </row>
    <row r="513" spans="1:1" ht="15" customHeight="1" x14ac:dyDescent="0.15">
      <c r="A513" s="26"/>
    </row>
    <row r="514" spans="1:1" ht="15" customHeight="1" x14ac:dyDescent="0.15">
      <c r="A514" s="26"/>
    </row>
    <row r="515" spans="1:1" ht="15" customHeight="1" x14ac:dyDescent="0.15">
      <c r="A515" s="26"/>
    </row>
    <row r="516" spans="1:1" ht="15" customHeight="1" x14ac:dyDescent="0.15">
      <c r="A516" s="26"/>
    </row>
    <row r="517" spans="1:1" ht="15" customHeight="1" x14ac:dyDescent="0.15">
      <c r="A517" s="26"/>
    </row>
    <row r="518" spans="1:1" ht="15" customHeight="1" x14ac:dyDescent="0.15">
      <c r="A518" s="26"/>
    </row>
    <row r="519" spans="1:1" ht="15" customHeight="1" x14ac:dyDescent="0.15">
      <c r="A519" s="26"/>
    </row>
    <row r="520" spans="1:1" ht="15" customHeight="1" x14ac:dyDescent="0.15">
      <c r="A520" s="26"/>
    </row>
    <row r="521" spans="1:1" ht="15" customHeight="1" x14ac:dyDescent="0.15">
      <c r="A521" s="26"/>
    </row>
    <row r="522" spans="1:1" ht="15" customHeight="1" x14ac:dyDescent="0.15">
      <c r="A522" s="26"/>
    </row>
    <row r="523" spans="1:1" ht="15" customHeight="1" x14ac:dyDescent="0.15">
      <c r="A523" s="26"/>
    </row>
    <row r="524" spans="1:1" ht="15" customHeight="1" x14ac:dyDescent="0.15">
      <c r="A524" s="26"/>
    </row>
    <row r="525" spans="1:1" ht="15" customHeight="1" x14ac:dyDescent="0.15">
      <c r="A525" s="26"/>
    </row>
    <row r="526" spans="1:1" ht="15" customHeight="1" x14ac:dyDescent="0.15">
      <c r="A526" s="26"/>
    </row>
    <row r="527" spans="1:1" ht="15" customHeight="1" x14ac:dyDescent="0.15">
      <c r="A527" s="26"/>
    </row>
    <row r="528" spans="1:1" ht="15" customHeight="1" x14ac:dyDescent="0.15">
      <c r="A528" s="26"/>
    </row>
    <row r="529" spans="1:1" ht="15" customHeight="1" x14ac:dyDescent="0.15">
      <c r="A529" s="26"/>
    </row>
    <row r="530" spans="1:1" ht="15" customHeight="1" x14ac:dyDescent="0.15">
      <c r="A530" s="26"/>
    </row>
    <row r="531" spans="1:1" ht="15" customHeight="1" x14ac:dyDescent="0.15">
      <c r="A531" s="26"/>
    </row>
    <row r="532" spans="1:1" ht="15" customHeight="1" x14ac:dyDescent="0.15">
      <c r="A532" s="26"/>
    </row>
    <row r="533" spans="1:1" ht="15" customHeight="1" x14ac:dyDescent="0.15">
      <c r="A533" s="26"/>
    </row>
    <row r="534" spans="1:1" ht="15" customHeight="1" x14ac:dyDescent="0.15">
      <c r="A534" s="26"/>
    </row>
    <row r="535" spans="1:1" ht="15" customHeight="1" x14ac:dyDescent="0.15">
      <c r="A535" s="26"/>
    </row>
    <row r="536" spans="1:1" ht="15" customHeight="1" x14ac:dyDescent="0.15">
      <c r="A536" s="26"/>
    </row>
    <row r="537" spans="1:1" ht="15" customHeight="1" x14ac:dyDescent="0.15">
      <c r="A537" s="26"/>
    </row>
    <row r="538" spans="1:1" ht="15" customHeight="1" x14ac:dyDescent="0.15">
      <c r="A538" s="26"/>
    </row>
    <row r="539" spans="1:1" ht="15" customHeight="1" x14ac:dyDescent="0.15">
      <c r="A539" s="26"/>
    </row>
    <row r="540" spans="1:1" ht="15" customHeight="1" x14ac:dyDescent="0.15">
      <c r="A540" s="26"/>
    </row>
    <row r="541" spans="1:1" ht="15" customHeight="1" x14ac:dyDescent="0.15">
      <c r="A541" s="26"/>
    </row>
    <row r="542" spans="1:1" ht="15" customHeight="1" x14ac:dyDescent="0.15">
      <c r="A542" s="26"/>
    </row>
    <row r="543" spans="1:1" ht="15" customHeight="1" x14ac:dyDescent="0.15">
      <c r="A543" s="26"/>
    </row>
    <row r="544" spans="1:1" ht="15" customHeight="1" x14ac:dyDescent="0.15">
      <c r="A544" s="26"/>
    </row>
    <row r="545" spans="1:1" ht="15" customHeight="1" x14ac:dyDescent="0.15">
      <c r="A545" s="26"/>
    </row>
    <row r="546" spans="1:1" ht="15" customHeight="1" x14ac:dyDescent="0.15">
      <c r="A546" s="26"/>
    </row>
    <row r="547" spans="1:1" ht="15" customHeight="1" x14ac:dyDescent="0.15">
      <c r="A547" s="26"/>
    </row>
    <row r="548" spans="1:1" ht="15" customHeight="1" x14ac:dyDescent="0.15">
      <c r="A548" s="26"/>
    </row>
    <row r="549" spans="1:1" ht="15" customHeight="1" x14ac:dyDescent="0.15">
      <c r="A549" s="26"/>
    </row>
    <row r="550" spans="1:1" ht="15" customHeight="1" x14ac:dyDescent="0.15">
      <c r="A550" s="26"/>
    </row>
    <row r="551" spans="1:1" ht="15" customHeight="1" x14ac:dyDescent="0.15">
      <c r="A551" s="26"/>
    </row>
    <row r="552" spans="1:1" ht="15" customHeight="1" x14ac:dyDescent="0.15">
      <c r="A552" s="26"/>
    </row>
    <row r="553" spans="1:1" ht="15" customHeight="1" x14ac:dyDescent="0.15">
      <c r="A553" s="26"/>
    </row>
    <row r="554" spans="1:1" ht="15" customHeight="1" x14ac:dyDescent="0.15">
      <c r="A554" s="26"/>
    </row>
    <row r="555" spans="1:1" ht="15" customHeight="1" x14ac:dyDescent="0.15">
      <c r="A555" s="26"/>
    </row>
    <row r="556" spans="1:1" ht="15" customHeight="1" x14ac:dyDescent="0.15">
      <c r="A556" s="26"/>
    </row>
    <row r="557" spans="1:1" ht="15" customHeight="1" x14ac:dyDescent="0.15">
      <c r="A557" s="26"/>
    </row>
    <row r="558" spans="1:1" ht="15" customHeight="1" x14ac:dyDescent="0.15">
      <c r="A558" s="26"/>
    </row>
    <row r="559" spans="1:1" ht="15" customHeight="1" x14ac:dyDescent="0.15">
      <c r="A559" s="26"/>
    </row>
    <row r="560" spans="1:1" ht="15" customHeight="1" x14ac:dyDescent="0.15">
      <c r="A560" s="26"/>
    </row>
    <row r="561" spans="1:1" ht="15" customHeight="1" x14ac:dyDescent="0.15">
      <c r="A561" s="26"/>
    </row>
    <row r="562" spans="1:1" ht="15" customHeight="1" x14ac:dyDescent="0.15">
      <c r="A562" s="26"/>
    </row>
    <row r="563" spans="1:1" ht="15" customHeight="1" x14ac:dyDescent="0.15">
      <c r="A563" s="26"/>
    </row>
    <row r="564" spans="1:1" ht="15" customHeight="1" x14ac:dyDescent="0.15">
      <c r="A564" s="26"/>
    </row>
    <row r="565" spans="1:1" ht="15" customHeight="1" x14ac:dyDescent="0.15">
      <c r="A565" s="26"/>
    </row>
    <row r="566" spans="1:1" ht="15" customHeight="1" x14ac:dyDescent="0.15">
      <c r="A566" s="26"/>
    </row>
    <row r="567" spans="1:1" ht="15" customHeight="1" x14ac:dyDescent="0.15">
      <c r="A567" s="26"/>
    </row>
    <row r="568" spans="1:1" ht="15" customHeight="1" x14ac:dyDescent="0.15">
      <c r="A568" s="26"/>
    </row>
    <row r="569" spans="1:1" ht="15" customHeight="1" x14ac:dyDescent="0.15">
      <c r="A569" s="26"/>
    </row>
    <row r="570" spans="1:1" ht="15" customHeight="1" x14ac:dyDescent="0.15">
      <c r="A570" s="26"/>
    </row>
    <row r="571" spans="1:1" ht="15" customHeight="1" x14ac:dyDescent="0.15">
      <c r="A571" s="26"/>
    </row>
    <row r="572" spans="1:1" ht="15" customHeight="1" x14ac:dyDescent="0.15">
      <c r="A572" s="26"/>
    </row>
    <row r="573" spans="1:1" ht="15" customHeight="1" x14ac:dyDescent="0.15">
      <c r="A573" s="26"/>
    </row>
    <row r="574" spans="1:1" ht="15" customHeight="1" x14ac:dyDescent="0.15">
      <c r="A574" s="26"/>
    </row>
    <row r="575" spans="1:1" ht="15" customHeight="1" x14ac:dyDescent="0.15">
      <c r="A575" s="26"/>
    </row>
    <row r="576" spans="1:1" ht="15" customHeight="1" x14ac:dyDescent="0.15">
      <c r="A576" s="26"/>
    </row>
    <row r="577" spans="1:1" ht="15" customHeight="1" x14ac:dyDescent="0.15">
      <c r="A577" s="26"/>
    </row>
    <row r="578" spans="1:1" ht="15" customHeight="1" x14ac:dyDescent="0.15">
      <c r="A578" s="26"/>
    </row>
    <row r="579" spans="1:1" ht="15" customHeight="1" x14ac:dyDescent="0.15">
      <c r="A579" s="26"/>
    </row>
    <row r="580" spans="1:1" ht="15" customHeight="1" x14ac:dyDescent="0.15">
      <c r="A580" s="26"/>
    </row>
    <row r="581" spans="1:1" ht="15" customHeight="1" x14ac:dyDescent="0.15">
      <c r="A581" s="26"/>
    </row>
    <row r="582" spans="1:1" ht="15" customHeight="1" x14ac:dyDescent="0.15">
      <c r="A582" s="26"/>
    </row>
    <row r="583" spans="1:1" ht="15" customHeight="1" x14ac:dyDescent="0.15">
      <c r="A583" s="26"/>
    </row>
    <row r="584" spans="1:1" ht="15" customHeight="1" x14ac:dyDescent="0.15">
      <c r="A584" s="26"/>
    </row>
    <row r="585" spans="1:1" ht="15" customHeight="1" x14ac:dyDescent="0.15">
      <c r="A585" s="26"/>
    </row>
    <row r="586" spans="1:1" ht="15" customHeight="1" x14ac:dyDescent="0.15">
      <c r="A586" s="26"/>
    </row>
    <row r="587" spans="1:1" ht="15" customHeight="1" x14ac:dyDescent="0.15">
      <c r="A587" s="26"/>
    </row>
    <row r="588" spans="1:1" ht="15" customHeight="1" x14ac:dyDescent="0.15">
      <c r="A588" s="26"/>
    </row>
    <row r="589" spans="1:1" ht="15" customHeight="1" x14ac:dyDescent="0.15">
      <c r="A589" s="26"/>
    </row>
    <row r="590" spans="1:1" ht="15" customHeight="1" x14ac:dyDescent="0.15">
      <c r="A590" s="26"/>
    </row>
    <row r="591" spans="1:1" ht="15" customHeight="1" x14ac:dyDescent="0.15">
      <c r="A591" s="26"/>
    </row>
    <row r="592" spans="1:1" ht="15" customHeight="1" x14ac:dyDescent="0.15">
      <c r="A592" s="26"/>
    </row>
    <row r="593" spans="1:1" ht="15" customHeight="1" x14ac:dyDescent="0.15">
      <c r="A593" s="26"/>
    </row>
    <row r="594" spans="1:1" ht="15" customHeight="1" x14ac:dyDescent="0.15">
      <c r="A594" s="26"/>
    </row>
    <row r="595" spans="1:1" ht="15" customHeight="1" x14ac:dyDescent="0.15">
      <c r="A595" s="26"/>
    </row>
    <row r="596" spans="1:1" ht="15" customHeight="1" x14ac:dyDescent="0.15">
      <c r="A596" s="26"/>
    </row>
    <row r="597" spans="1:1" ht="15" customHeight="1" x14ac:dyDescent="0.15">
      <c r="A597" s="26"/>
    </row>
    <row r="598" spans="1:1" ht="15" customHeight="1" x14ac:dyDescent="0.15">
      <c r="A598" s="26"/>
    </row>
    <row r="599" spans="1:1" ht="15" customHeight="1" x14ac:dyDescent="0.15">
      <c r="A599" s="26"/>
    </row>
    <row r="600" spans="1:1" ht="15" customHeight="1" x14ac:dyDescent="0.15">
      <c r="A600" s="26"/>
    </row>
    <row r="601" spans="1:1" ht="15" customHeight="1" x14ac:dyDescent="0.15">
      <c r="A601" s="26"/>
    </row>
    <row r="602" spans="1:1" ht="15" customHeight="1" x14ac:dyDescent="0.15">
      <c r="A602" s="26"/>
    </row>
    <row r="603" spans="1:1" ht="15" customHeight="1" x14ac:dyDescent="0.15">
      <c r="A603" s="26"/>
    </row>
    <row r="604" spans="1:1" ht="15" customHeight="1" x14ac:dyDescent="0.15">
      <c r="A604" s="26"/>
    </row>
    <row r="605" spans="1:1" ht="15" customHeight="1" x14ac:dyDescent="0.15">
      <c r="A605" s="26"/>
    </row>
    <row r="606" spans="1:1" ht="15" customHeight="1" x14ac:dyDescent="0.15">
      <c r="A606" s="26"/>
    </row>
    <row r="607" spans="1:1" ht="15" customHeight="1" x14ac:dyDescent="0.15">
      <c r="A607" s="26"/>
    </row>
    <row r="608" spans="1:1" ht="15" customHeight="1" x14ac:dyDescent="0.15">
      <c r="A608" s="26"/>
    </row>
    <row r="609" spans="1:1" ht="15" customHeight="1" x14ac:dyDescent="0.15">
      <c r="A609" s="26"/>
    </row>
    <row r="610" spans="1:1" ht="15" customHeight="1" x14ac:dyDescent="0.15">
      <c r="A610" s="26"/>
    </row>
    <row r="611" spans="1:1" ht="15" customHeight="1" x14ac:dyDescent="0.15">
      <c r="A611" s="26"/>
    </row>
    <row r="612" spans="1:1" ht="15" customHeight="1" x14ac:dyDescent="0.15">
      <c r="A612" s="26"/>
    </row>
    <row r="613" spans="1:1" ht="15" customHeight="1" x14ac:dyDescent="0.15">
      <c r="A613" s="26"/>
    </row>
    <row r="614" spans="1:1" ht="15" customHeight="1" x14ac:dyDescent="0.15">
      <c r="A614" s="26"/>
    </row>
    <row r="615" spans="1:1" ht="15" customHeight="1" x14ac:dyDescent="0.15">
      <c r="A615" s="26"/>
    </row>
    <row r="616" spans="1:1" ht="15" customHeight="1" x14ac:dyDescent="0.15">
      <c r="A616" s="26"/>
    </row>
    <row r="617" spans="1:1" ht="15" customHeight="1" x14ac:dyDescent="0.15">
      <c r="A617" s="26"/>
    </row>
    <row r="618" spans="1:1" ht="15" customHeight="1" x14ac:dyDescent="0.15">
      <c r="A618" s="26"/>
    </row>
    <row r="619" spans="1:1" ht="15" customHeight="1" x14ac:dyDescent="0.15">
      <c r="A619" s="26"/>
    </row>
    <row r="620" spans="1:1" ht="15" customHeight="1" x14ac:dyDescent="0.15">
      <c r="A620" s="26"/>
    </row>
    <row r="621" spans="1:1" ht="15" customHeight="1" x14ac:dyDescent="0.15">
      <c r="A621" s="26"/>
    </row>
    <row r="622" spans="1:1" ht="15" customHeight="1" x14ac:dyDescent="0.15">
      <c r="A622" s="26"/>
    </row>
    <row r="623" spans="1:1" ht="15" customHeight="1" x14ac:dyDescent="0.15">
      <c r="A623" s="26"/>
    </row>
    <row r="624" spans="1:1" ht="15" customHeight="1" x14ac:dyDescent="0.15">
      <c r="A624" s="26"/>
    </row>
    <row r="625" spans="1:1" ht="15" customHeight="1" x14ac:dyDescent="0.15">
      <c r="A625" s="26"/>
    </row>
    <row r="626" spans="1:1" ht="15" customHeight="1" x14ac:dyDescent="0.15">
      <c r="A626" s="26"/>
    </row>
    <row r="627" spans="1:1" ht="15" customHeight="1" x14ac:dyDescent="0.15">
      <c r="A627" s="26"/>
    </row>
    <row r="628" spans="1:1" ht="15" customHeight="1" x14ac:dyDescent="0.15">
      <c r="A628" s="26"/>
    </row>
    <row r="629" spans="1:1" ht="15" customHeight="1" x14ac:dyDescent="0.15">
      <c r="A629" s="26"/>
    </row>
    <row r="630" spans="1:1" ht="15" customHeight="1" x14ac:dyDescent="0.15">
      <c r="A630" s="26"/>
    </row>
    <row r="631" spans="1:1" ht="15" customHeight="1" x14ac:dyDescent="0.15">
      <c r="A631" s="26"/>
    </row>
    <row r="632" spans="1:1" ht="15" customHeight="1" x14ac:dyDescent="0.15">
      <c r="A632" s="26"/>
    </row>
    <row r="633" spans="1:1" ht="15" customHeight="1" x14ac:dyDescent="0.15">
      <c r="A633" s="26"/>
    </row>
    <row r="634" spans="1:1" ht="15" customHeight="1" x14ac:dyDescent="0.15">
      <c r="A634" s="26"/>
    </row>
    <row r="635" spans="1:1" ht="15" customHeight="1" x14ac:dyDescent="0.15">
      <c r="A635" s="26"/>
    </row>
    <row r="636" spans="1:1" ht="15" customHeight="1" x14ac:dyDescent="0.15">
      <c r="A636" s="26"/>
    </row>
    <row r="637" spans="1:1" ht="15" customHeight="1" x14ac:dyDescent="0.15">
      <c r="A637" s="26"/>
    </row>
    <row r="638" spans="1:1" ht="15" customHeight="1" x14ac:dyDescent="0.15">
      <c r="A638" s="26"/>
    </row>
    <row r="639" spans="1:1" ht="15" customHeight="1" x14ac:dyDescent="0.15">
      <c r="A639" s="26"/>
    </row>
    <row r="640" spans="1:1" ht="15" customHeight="1" x14ac:dyDescent="0.15">
      <c r="A640" s="26"/>
    </row>
    <row r="641" spans="1:1" ht="15" customHeight="1" x14ac:dyDescent="0.15">
      <c r="A641" s="26"/>
    </row>
    <row r="642" spans="1:1" ht="15" customHeight="1" x14ac:dyDescent="0.15">
      <c r="A642" s="26"/>
    </row>
    <row r="643" spans="1:1" ht="15" customHeight="1" x14ac:dyDescent="0.15">
      <c r="A643" s="26"/>
    </row>
    <row r="644" spans="1:1" ht="15" customHeight="1" x14ac:dyDescent="0.15">
      <c r="A644" s="26"/>
    </row>
    <row r="645" spans="1:1" ht="15" customHeight="1" x14ac:dyDescent="0.15">
      <c r="A645" s="26"/>
    </row>
    <row r="646" spans="1:1" ht="15" customHeight="1" x14ac:dyDescent="0.15">
      <c r="A646" s="26"/>
    </row>
    <row r="647" spans="1:1" ht="15" customHeight="1" x14ac:dyDescent="0.15">
      <c r="A647" s="26"/>
    </row>
    <row r="648" spans="1:1" ht="15" customHeight="1" x14ac:dyDescent="0.15">
      <c r="A648" s="26"/>
    </row>
    <row r="649" spans="1:1" ht="15" customHeight="1" x14ac:dyDescent="0.15">
      <c r="A649" s="26"/>
    </row>
    <row r="650" spans="1:1" ht="15" customHeight="1" x14ac:dyDescent="0.15">
      <c r="A650" s="26"/>
    </row>
    <row r="651" spans="1:1" ht="15" customHeight="1" x14ac:dyDescent="0.15">
      <c r="A651" s="26"/>
    </row>
    <row r="652" spans="1:1" ht="15" customHeight="1" x14ac:dyDescent="0.15">
      <c r="A652" s="26"/>
    </row>
    <row r="653" spans="1:1" ht="15" customHeight="1" x14ac:dyDescent="0.15">
      <c r="A653" s="26"/>
    </row>
    <row r="654" spans="1:1" ht="15" customHeight="1" x14ac:dyDescent="0.15">
      <c r="A654" s="26"/>
    </row>
    <row r="655" spans="1:1" ht="15" customHeight="1" x14ac:dyDescent="0.15">
      <c r="A655" s="26"/>
    </row>
    <row r="656" spans="1:1" ht="15" customHeight="1" x14ac:dyDescent="0.15">
      <c r="A656" s="26"/>
    </row>
    <row r="657" spans="1:1" ht="15" customHeight="1" x14ac:dyDescent="0.15">
      <c r="A657" s="26"/>
    </row>
    <row r="658" spans="1:1" ht="15" customHeight="1" x14ac:dyDescent="0.15">
      <c r="A658" s="26"/>
    </row>
    <row r="659" spans="1:1" ht="15" customHeight="1" x14ac:dyDescent="0.15">
      <c r="A659" s="26"/>
    </row>
    <row r="660" spans="1:1" ht="15" customHeight="1" x14ac:dyDescent="0.15">
      <c r="A660" s="26"/>
    </row>
    <row r="661" spans="1:1" ht="15" customHeight="1" x14ac:dyDescent="0.15">
      <c r="A661" s="26"/>
    </row>
    <row r="662" spans="1:1" ht="15" customHeight="1" x14ac:dyDescent="0.15">
      <c r="A662" s="26"/>
    </row>
    <row r="663" spans="1:1" ht="15" customHeight="1" x14ac:dyDescent="0.15">
      <c r="A663" s="26"/>
    </row>
    <row r="664" spans="1:1" ht="15" customHeight="1" x14ac:dyDescent="0.15">
      <c r="A664" s="26"/>
    </row>
    <row r="665" spans="1:1" ht="15" customHeight="1" x14ac:dyDescent="0.15">
      <c r="A665" s="26"/>
    </row>
    <row r="666" spans="1:1" ht="15" customHeight="1" x14ac:dyDescent="0.15">
      <c r="A666" s="26"/>
    </row>
    <row r="667" spans="1:1" ht="15" customHeight="1" x14ac:dyDescent="0.15">
      <c r="A667" s="26"/>
    </row>
    <row r="668" spans="1:1" ht="15" customHeight="1" x14ac:dyDescent="0.15">
      <c r="A668" s="26"/>
    </row>
    <row r="669" spans="1:1" ht="15" customHeight="1" x14ac:dyDescent="0.15">
      <c r="A669" s="26"/>
    </row>
    <row r="670" spans="1:1" ht="15" customHeight="1" x14ac:dyDescent="0.15">
      <c r="A670" s="26"/>
    </row>
    <row r="671" spans="1:1" ht="15" customHeight="1" x14ac:dyDescent="0.15">
      <c r="A671" s="26"/>
    </row>
    <row r="672" spans="1:1" ht="15" customHeight="1" x14ac:dyDescent="0.15">
      <c r="A672" s="26"/>
    </row>
    <row r="673" spans="1:1" ht="15" customHeight="1" x14ac:dyDescent="0.15">
      <c r="A673" s="26"/>
    </row>
    <row r="674" spans="1:1" ht="15" customHeight="1" x14ac:dyDescent="0.15">
      <c r="A674" s="26"/>
    </row>
    <row r="675" spans="1:1" ht="15" customHeight="1" x14ac:dyDescent="0.15">
      <c r="A675" s="26"/>
    </row>
    <row r="676" spans="1:1" ht="15" customHeight="1" x14ac:dyDescent="0.15">
      <c r="A676" s="26"/>
    </row>
    <row r="677" spans="1:1" ht="15" customHeight="1" x14ac:dyDescent="0.15">
      <c r="A677" s="26"/>
    </row>
    <row r="678" spans="1:1" ht="15" customHeight="1" x14ac:dyDescent="0.15">
      <c r="A678" s="26"/>
    </row>
    <row r="679" spans="1:1" ht="15" customHeight="1" x14ac:dyDescent="0.15">
      <c r="A679" s="26"/>
    </row>
    <row r="680" spans="1:1" ht="15" customHeight="1" x14ac:dyDescent="0.15">
      <c r="A680" s="26"/>
    </row>
    <row r="681" spans="1:1" ht="15" customHeight="1" x14ac:dyDescent="0.15">
      <c r="A681" s="26"/>
    </row>
    <row r="682" spans="1:1" ht="15" customHeight="1" x14ac:dyDescent="0.15">
      <c r="A682" s="26"/>
    </row>
    <row r="683" spans="1:1" ht="15" customHeight="1" x14ac:dyDescent="0.15">
      <c r="A683" s="26"/>
    </row>
    <row r="684" spans="1:1" ht="15" customHeight="1" x14ac:dyDescent="0.15">
      <c r="A684" s="26"/>
    </row>
    <row r="685" spans="1:1" ht="15" customHeight="1" x14ac:dyDescent="0.15">
      <c r="A685" s="26"/>
    </row>
    <row r="686" spans="1:1" ht="15" customHeight="1" x14ac:dyDescent="0.15">
      <c r="A686" s="26"/>
    </row>
    <row r="687" spans="1:1" ht="15" customHeight="1" x14ac:dyDescent="0.15">
      <c r="A687" s="26"/>
    </row>
    <row r="688" spans="1:1" ht="15" customHeight="1" x14ac:dyDescent="0.15">
      <c r="A688" s="26"/>
    </row>
    <row r="689" spans="1:1" ht="15" customHeight="1" x14ac:dyDescent="0.15">
      <c r="A689" s="26"/>
    </row>
    <row r="690" spans="1:1" ht="15" customHeight="1" x14ac:dyDescent="0.15">
      <c r="A690" s="26"/>
    </row>
    <row r="691" spans="1:1" ht="15" customHeight="1" x14ac:dyDescent="0.15">
      <c r="A691" s="26"/>
    </row>
    <row r="692" spans="1:1" ht="15" customHeight="1" x14ac:dyDescent="0.15">
      <c r="A692" s="26"/>
    </row>
    <row r="693" spans="1:1" ht="15" customHeight="1" x14ac:dyDescent="0.15">
      <c r="A693" s="26"/>
    </row>
    <row r="694" spans="1:1" ht="15" customHeight="1" x14ac:dyDescent="0.15">
      <c r="A694" s="26"/>
    </row>
    <row r="695" spans="1:1" ht="15" customHeight="1" x14ac:dyDescent="0.15">
      <c r="A695" s="26"/>
    </row>
    <row r="696" spans="1:1" ht="15" customHeight="1" x14ac:dyDescent="0.15">
      <c r="A696" s="26"/>
    </row>
    <row r="697" spans="1:1" ht="15" customHeight="1" x14ac:dyDescent="0.15">
      <c r="A697" s="26"/>
    </row>
    <row r="698" spans="1:1" ht="15" customHeight="1" x14ac:dyDescent="0.15">
      <c r="A698" s="26"/>
    </row>
    <row r="699" spans="1:1" ht="15" customHeight="1" x14ac:dyDescent="0.15">
      <c r="A699" s="26"/>
    </row>
    <row r="700" spans="1:1" ht="15" customHeight="1" x14ac:dyDescent="0.15">
      <c r="A700" s="26"/>
    </row>
    <row r="701" spans="1:1" ht="15" customHeight="1" x14ac:dyDescent="0.15">
      <c r="A701" s="26"/>
    </row>
    <row r="702" spans="1:1" ht="15" customHeight="1" x14ac:dyDescent="0.15">
      <c r="A702" s="26"/>
    </row>
    <row r="703" spans="1:1" ht="15" customHeight="1" x14ac:dyDescent="0.15">
      <c r="A703" s="26"/>
    </row>
    <row r="704" spans="1:1" ht="15" customHeight="1" x14ac:dyDescent="0.15">
      <c r="A704" s="26"/>
    </row>
    <row r="705" spans="1:1" ht="15" customHeight="1" x14ac:dyDescent="0.15">
      <c r="A705" s="26"/>
    </row>
    <row r="706" spans="1:1" ht="15" customHeight="1" x14ac:dyDescent="0.15">
      <c r="A706" s="26"/>
    </row>
    <row r="707" spans="1:1" ht="15" customHeight="1" x14ac:dyDescent="0.15">
      <c r="A707" s="26"/>
    </row>
    <row r="708" spans="1:1" ht="15" customHeight="1" x14ac:dyDescent="0.15">
      <c r="A708" s="26"/>
    </row>
    <row r="709" spans="1:1" ht="15" customHeight="1" x14ac:dyDescent="0.15">
      <c r="A709" s="26"/>
    </row>
    <row r="710" spans="1:1" ht="15" customHeight="1" x14ac:dyDescent="0.15">
      <c r="A710" s="26"/>
    </row>
    <row r="711" spans="1:1" ht="15" customHeight="1" x14ac:dyDescent="0.15">
      <c r="A711" s="26"/>
    </row>
    <row r="712" spans="1:1" ht="15" customHeight="1" x14ac:dyDescent="0.15">
      <c r="A712" s="26"/>
    </row>
    <row r="713" spans="1:1" ht="15" customHeight="1" x14ac:dyDescent="0.15">
      <c r="A713" s="26"/>
    </row>
    <row r="714" spans="1:1" ht="15" customHeight="1" x14ac:dyDescent="0.15">
      <c r="A714" s="26"/>
    </row>
    <row r="715" spans="1:1" ht="15" customHeight="1" x14ac:dyDescent="0.15">
      <c r="A715" s="26"/>
    </row>
    <row r="716" spans="1:1" ht="15" customHeight="1" x14ac:dyDescent="0.15">
      <c r="A716" s="26"/>
    </row>
    <row r="717" spans="1:1" ht="15" customHeight="1" x14ac:dyDescent="0.15">
      <c r="A717" s="26"/>
    </row>
    <row r="718" spans="1:1" ht="15" customHeight="1" x14ac:dyDescent="0.15">
      <c r="A718" s="26"/>
    </row>
    <row r="719" spans="1:1" ht="15" customHeight="1" x14ac:dyDescent="0.15">
      <c r="A719" s="26"/>
    </row>
    <row r="720" spans="1:1" ht="15" customHeight="1" x14ac:dyDescent="0.15">
      <c r="A720" s="26"/>
    </row>
    <row r="721" spans="1:1" ht="15" customHeight="1" x14ac:dyDescent="0.15">
      <c r="A721" s="26"/>
    </row>
    <row r="722" spans="1:1" ht="15" customHeight="1" x14ac:dyDescent="0.15">
      <c r="A722" s="26"/>
    </row>
    <row r="723" spans="1:1" ht="15" customHeight="1" x14ac:dyDescent="0.15">
      <c r="A723" s="26"/>
    </row>
    <row r="724" spans="1:1" ht="15" customHeight="1" x14ac:dyDescent="0.15">
      <c r="A724" s="26"/>
    </row>
    <row r="725" spans="1:1" ht="15" customHeight="1" x14ac:dyDescent="0.15">
      <c r="A725" s="26"/>
    </row>
    <row r="726" spans="1:1" ht="15" customHeight="1" x14ac:dyDescent="0.15">
      <c r="A726" s="26"/>
    </row>
    <row r="727" spans="1:1" ht="15" customHeight="1" x14ac:dyDescent="0.15">
      <c r="A727" s="26"/>
    </row>
    <row r="728" spans="1:1" ht="15" customHeight="1" x14ac:dyDescent="0.15">
      <c r="A728" s="26"/>
    </row>
    <row r="729" spans="1:1" ht="15" customHeight="1" x14ac:dyDescent="0.15">
      <c r="A729" s="26"/>
    </row>
    <row r="730" spans="1:1" ht="15" customHeight="1" x14ac:dyDescent="0.15">
      <c r="A730" s="26"/>
    </row>
    <row r="731" spans="1:1" ht="15" customHeight="1" x14ac:dyDescent="0.15">
      <c r="A731" s="26"/>
    </row>
    <row r="732" spans="1:1" ht="15" customHeight="1" x14ac:dyDescent="0.15">
      <c r="A732" s="26"/>
    </row>
    <row r="733" spans="1:1" ht="15" customHeight="1" x14ac:dyDescent="0.15">
      <c r="A733" s="26"/>
    </row>
    <row r="734" spans="1:1" ht="15" customHeight="1" x14ac:dyDescent="0.15">
      <c r="A734" s="26"/>
    </row>
    <row r="735" spans="1:1" ht="15" customHeight="1" x14ac:dyDescent="0.15">
      <c r="A735" s="26"/>
    </row>
    <row r="736" spans="1:1" ht="15" customHeight="1" x14ac:dyDescent="0.15">
      <c r="A736" s="26"/>
    </row>
    <row r="737" spans="1:1" ht="15" customHeight="1" x14ac:dyDescent="0.15">
      <c r="A737" s="26"/>
    </row>
    <row r="738" spans="1:1" ht="15" customHeight="1" x14ac:dyDescent="0.15">
      <c r="A738" s="26"/>
    </row>
    <row r="739" spans="1:1" ht="15" customHeight="1" x14ac:dyDescent="0.15">
      <c r="A739" s="26"/>
    </row>
    <row r="740" spans="1:1" ht="15" customHeight="1" x14ac:dyDescent="0.15">
      <c r="A740" s="26"/>
    </row>
    <row r="741" spans="1:1" ht="15" customHeight="1" x14ac:dyDescent="0.15">
      <c r="A741" s="26"/>
    </row>
    <row r="742" spans="1:1" ht="15" customHeight="1" x14ac:dyDescent="0.15">
      <c r="A742" s="26"/>
    </row>
    <row r="743" spans="1:1" ht="15" customHeight="1" x14ac:dyDescent="0.15">
      <c r="A743" s="26"/>
    </row>
    <row r="744" spans="1:1" ht="15" customHeight="1" x14ac:dyDescent="0.15">
      <c r="A744" s="26"/>
    </row>
    <row r="745" spans="1:1" ht="15" customHeight="1" x14ac:dyDescent="0.15">
      <c r="A745" s="26"/>
    </row>
    <row r="746" spans="1:1" ht="15" customHeight="1" x14ac:dyDescent="0.15">
      <c r="A746" s="26"/>
    </row>
    <row r="747" spans="1:1" ht="15" customHeight="1" x14ac:dyDescent="0.15">
      <c r="A747" s="26"/>
    </row>
    <row r="748" spans="1:1" ht="15" customHeight="1" x14ac:dyDescent="0.15">
      <c r="A748" s="26"/>
    </row>
    <row r="749" spans="1:1" ht="15" customHeight="1" x14ac:dyDescent="0.15">
      <c r="A749" s="26"/>
    </row>
    <row r="750" spans="1:1" ht="15" customHeight="1" x14ac:dyDescent="0.15">
      <c r="A750" s="26"/>
    </row>
    <row r="751" spans="1:1" ht="15" customHeight="1" x14ac:dyDescent="0.15">
      <c r="A751" s="26"/>
    </row>
    <row r="752" spans="1:1" ht="15" customHeight="1" x14ac:dyDescent="0.15">
      <c r="A752" s="26"/>
    </row>
    <row r="753" spans="1:1" ht="15" customHeight="1" x14ac:dyDescent="0.15">
      <c r="A753" s="26"/>
    </row>
    <row r="754" spans="1:1" ht="15" customHeight="1" x14ac:dyDescent="0.15">
      <c r="A754" s="26"/>
    </row>
    <row r="755" spans="1:1" ht="15" customHeight="1" x14ac:dyDescent="0.15">
      <c r="A755" s="26"/>
    </row>
    <row r="756" spans="1:1" ht="15" customHeight="1" x14ac:dyDescent="0.15">
      <c r="A756" s="26"/>
    </row>
    <row r="757" spans="1:1" ht="15" customHeight="1" x14ac:dyDescent="0.15">
      <c r="A757" s="26"/>
    </row>
    <row r="758" spans="1:1" ht="15" customHeight="1" x14ac:dyDescent="0.15">
      <c r="A758" s="26"/>
    </row>
    <row r="759" spans="1:1" ht="15" customHeight="1" x14ac:dyDescent="0.15">
      <c r="A759" s="26"/>
    </row>
    <row r="760" spans="1:1" ht="15" customHeight="1" x14ac:dyDescent="0.15">
      <c r="A760" s="26"/>
    </row>
    <row r="761" spans="1:1" ht="15" customHeight="1" x14ac:dyDescent="0.15">
      <c r="A761" s="26"/>
    </row>
    <row r="762" spans="1:1" ht="15" customHeight="1" x14ac:dyDescent="0.15">
      <c r="A762" s="26"/>
    </row>
    <row r="763" spans="1:1" ht="15" customHeight="1" x14ac:dyDescent="0.15">
      <c r="A763" s="26"/>
    </row>
    <row r="764" spans="1:1" ht="15" customHeight="1" x14ac:dyDescent="0.15">
      <c r="A764" s="26"/>
    </row>
    <row r="765" spans="1:1" ht="15" customHeight="1" x14ac:dyDescent="0.15">
      <c r="A765" s="26"/>
    </row>
    <row r="766" spans="1:1" ht="15" customHeight="1" x14ac:dyDescent="0.15">
      <c r="A766" s="26"/>
    </row>
    <row r="767" spans="1:1" ht="15" customHeight="1" x14ac:dyDescent="0.15">
      <c r="A767" s="26"/>
    </row>
    <row r="768" spans="1:1" ht="15" customHeight="1" x14ac:dyDescent="0.15">
      <c r="A768" s="26"/>
    </row>
    <row r="769" spans="1:1" ht="15" customHeight="1" x14ac:dyDescent="0.15">
      <c r="A769" s="26"/>
    </row>
    <row r="770" spans="1:1" ht="15" customHeight="1" x14ac:dyDescent="0.15">
      <c r="A770" s="26"/>
    </row>
    <row r="771" spans="1:1" ht="15" customHeight="1" x14ac:dyDescent="0.15">
      <c r="A771" s="26"/>
    </row>
    <row r="772" spans="1:1" ht="15" customHeight="1" x14ac:dyDescent="0.15">
      <c r="A772" s="26"/>
    </row>
    <row r="773" spans="1:1" ht="15" customHeight="1" x14ac:dyDescent="0.15">
      <c r="A773" s="26"/>
    </row>
    <row r="774" spans="1:1" ht="15" customHeight="1" x14ac:dyDescent="0.15">
      <c r="A774" s="26"/>
    </row>
    <row r="775" spans="1:1" ht="15" customHeight="1" x14ac:dyDescent="0.15">
      <c r="A775" s="26"/>
    </row>
    <row r="776" spans="1:1" ht="15" customHeight="1" x14ac:dyDescent="0.15">
      <c r="A776" s="26"/>
    </row>
    <row r="777" spans="1:1" ht="15" customHeight="1" x14ac:dyDescent="0.15">
      <c r="A777" s="26"/>
    </row>
    <row r="778" spans="1:1" ht="15" customHeight="1" x14ac:dyDescent="0.15">
      <c r="A778" s="26"/>
    </row>
    <row r="779" spans="1:1" ht="15" customHeight="1" x14ac:dyDescent="0.15">
      <c r="A779" s="26"/>
    </row>
    <row r="780" spans="1:1" ht="15" customHeight="1" x14ac:dyDescent="0.15">
      <c r="A780" s="26"/>
    </row>
    <row r="781" spans="1:1" ht="15" customHeight="1" x14ac:dyDescent="0.15">
      <c r="A781" s="26"/>
    </row>
    <row r="782" spans="1:1" ht="15" customHeight="1" x14ac:dyDescent="0.15">
      <c r="A782" s="26"/>
    </row>
    <row r="783" spans="1:1" ht="15" customHeight="1" x14ac:dyDescent="0.15">
      <c r="A783" s="26"/>
    </row>
    <row r="784" spans="1:1" ht="15" customHeight="1" x14ac:dyDescent="0.15">
      <c r="A784" s="26"/>
    </row>
    <row r="785" spans="1:1" ht="15" customHeight="1" x14ac:dyDescent="0.15">
      <c r="A785" s="26"/>
    </row>
    <row r="786" spans="1:1" ht="15" customHeight="1" x14ac:dyDescent="0.15">
      <c r="A786" s="26"/>
    </row>
    <row r="787" spans="1:1" ht="15" customHeight="1" x14ac:dyDescent="0.15">
      <c r="A787" s="26"/>
    </row>
    <row r="788" spans="1:1" ht="15" customHeight="1" x14ac:dyDescent="0.15">
      <c r="A788" s="26"/>
    </row>
    <row r="789" spans="1:1" ht="15" customHeight="1" x14ac:dyDescent="0.15">
      <c r="A789" s="26"/>
    </row>
    <row r="790" spans="1:1" ht="15" customHeight="1" x14ac:dyDescent="0.15">
      <c r="A790" s="26"/>
    </row>
    <row r="791" spans="1:1" ht="15" customHeight="1" x14ac:dyDescent="0.15">
      <c r="A791" s="26"/>
    </row>
    <row r="792" spans="1:1" ht="15" customHeight="1" x14ac:dyDescent="0.15">
      <c r="A792" s="26"/>
    </row>
    <row r="793" spans="1:1" ht="15" customHeight="1" x14ac:dyDescent="0.15">
      <c r="A793" s="26"/>
    </row>
    <row r="794" spans="1:1" ht="15" customHeight="1" x14ac:dyDescent="0.15">
      <c r="A794" s="26"/>
    </row>
    <row r="795" spans="1:1" ht="15" customHeight="1" x14ac:dyDescent="0.15">
      <c r="A795" s="26"/>
    </row>
    <row r="796" spans="1:1" ht="15" customHeight="1" x14ac:dyDescent="0.15">
      <c r="A796" s="26"/>
    </row>
    <row r="797" spans="1:1" ht="15" customHeight="1" x14ac:dyDescent="0.15">
      <c r="A797" s="26"/>
    </row>
    <row r="798" spans="1:1" ht="15" customHeight="1" x14ac:dyDescent="0.15">
      <c r="A798" s="26"/>
    </row>
    <row r="799" spans="1:1" ht="15" customHeight="1" x14ac:dyDescent="0.15">
      <c r="A799" s="26"/>
    </row>
    <row r="800" spans="1:1" ht="15" customHeight="1" x14ac:dyDescent="0.15">
      <c r="A800" s="26"/>
    </row>
    <row r="801" spans="1:1" ht="15" customHeight="1" x14ac:dyDescent="0.15">
      <c r="A801" s="26"/>
    </row>
    <row r="802" spans="1:1" ht="13" x14ac:dyDescent="0.15">
      <c r="A802" s="26"/>
    </row>
    <row r="803" spans="1:1" ht="13" x14ac:dyDescent="0.15">
      <c r="A803" s="26"/>
    </row>
    <row r="804" spans="1:1" ht="13" x14ac:dyDescent="0.15">
      <c r="A804" s="26"/>
    </row>
    <row r="805" spans="1:1" ht="13" x14ac:dyDescent="0.15">
      <c r="A805" s="26"/>
    </row>
    <row r="806" spans="1:1" ht="13" x14ac:dyDescent="0.15">
      <c r="A806" s="26"/>
    </row>
    <row r="807" spans="1:1" ht="13" x14ac:dyDescent="0.15">
      <c r="A807" s="26"/>
    </row>
    <row r="808" spans="1:1" ht="13" x14ac:dyDescent="0.15">
      <c r="A808" s="26"/>
    </row>
    <row r="809" spans="1:1" ht="13" x14ac:dyDescent="0.15">
      <c r="A809" s="26"/>
    </row>
    <row r="810" spans="1:1" ht="13" x14ac:dyDescent="0.15">
      <c r="A810" s="26"/>
    </row>
    <row r="811" spans="1:1" ht="13" x14ac:dyDescent="0.15">
      <c r="A811" s="26"/>
    </row>
    <row r="812" spans="1:1" ht="13" x14ac:dyDescent="0.15">
      <c r="A812" s="26"/>
    </row>
    <row r="813" spans="1:1" ht="13" x14ac:dyDescent="0.15">
      <c r="A813" s="26"/>
    </row>
    <row r="814" spans="1:1" ht="13" x14ac:dyDescent="0.15">
      <c r="A814" s="26"/>
    </row>
    <row r="815" spans="1:1" ht="13" x14ac:dyDescent="0.15">
      <c r="A815" s="26"/>
    </row>
    <row r="816" spans="1:1" ht="13" x14ac:dyDescent="0.15">
      <c r="A816" s="26"/>
    </row>
    <row r="817" spans="1:1" ht="13" x14ac:dyDescent="0.15">
      <c r="A817" s="26"/>
    </row>
    <row r="818" spans="1:1" ht="13" x14ac:dyDescent="0.15">
      <c r="A818" s="26"/>
    </row>
    <row r="819" spans="1:1" ht="13" x14ac:dyDescent="0.15">
      <c r="A819" s="26"/>
    </row>
    <row r="820" spans="1:1" ht="13" x14ac:dyDescent="0.15">
      <c r="A820" s="26"/>
    </row>
    <row r="821" spans="1:1" ht="13" x14ac:dyDescent="0.15">
      <c r="A821" s="26"/>
    </row>
    <row r="822" spans="1:1" ht="13" x14ac:dyDescent="0.15">
      <c r="A822" s="26"/>
    </row>
    <row r="823" spans="1:1" ht="13" x14ac:dyDescent="0.15">
      <c r="A823" s="26"/>
    </row>
    <row r="824" spans="1:1" ht="13" x14ac:dyDescent="0.15">
      <c r="A824" s="26"/>
    </row>
    <row r="825" spans="1:1" ht="13" x14ac:dyDescent="0.15">
      <c r="A825" s="26"/>
    </row>
    <row r="826" spans="1:1" ht="13" x14ac:dyDescent="0.15">
      <c r="A826" s="26"/>
    </row>
    <row r="827" spans="1:1" ht="13" x14ac:dyDescent="0.15">
      <c r="A827" s="26"/>
    </row>
    <row r="828" spans="1:1" ht="13" x14ac:dyDescent="0.15">
      <c r="A828" s="26"/>
    </row>
    <row r="829" spans="1:1" ht="13" x14ac:dyDescent="0.15">
      <c r="A829" s="26"/>
    </row>
    <row r="830" spans="1:1" ht="13" x14ac:dyDescent="0.15">
      <c r="A830" s="26"/>
    </row>
    <row r="831" spans="1:1" ht="13" x14ac:dyDescent="0.15">
      <c r="A831" s="26"/>
    </row>
    <row r="832" spans="1:1" ht="13" x14ac:dyDescent="0.15">
      <c r="A832" s="26"/>
    </row>
    <row r="833" spans="1:1" ht="13" x14ac:dyDescent="0.15">
      <c r="A833" s="26"/>
    </row>
    <row r="834" spans="1:1" ht="13" x14ac:dyDescent="0.15">
      <c r="A834" s="26"/>
    </row>
    <row r="835" spans="1:1" ht="13" x14ac:dyDescent="0.15">
      <c r="A835" s="26"/>
    </row>
    <row r="836" spans="1:1" ht="13" x14ac:dyDescent="0.15">
      <c r="A836" s="26"/>
    </row>
    <row r="837" spans="1:1" ht="13" x14ac:dyDescent="0.15">
      <c r="A837" s="26"/>
    </row>
    <row r="838" spans="1:1" ht="13" x14ac:dyDescent="0.15">
      <c r="A838" s="26"/>
    </row>
    <row r="839" spans="1:1" ht="13" x14ac:dyDescent="0.15">
      <c r="A839" s="26"/>
    </row>
    <row r="840" spans="1:1" ht="13" x14ac:dyDescent="0.15">
      <c r="A840" s="26"/>
    </row>
    <row r="841" spans="1:1" ht="13" x14ac:dyDescent="0.15">
      <c r="A841" s="26"/>
    </row>
    <row r="842" spans="1:1" ht="13" x14ac:dyDescent="0.15">
      <c r="A842" s="26"/>
    </row>
    <row r="843" spans="1:1" ht="13" x14ac:dyDescent="0.15">
      <c r="A843" s="26"/>
    </row>
    <row r="844" spans="1:1" ht="13" x14ac:dyDescent="0.15">
      <c r="A844" s="26"/>
    </row>
    <row r="845" spans="1:1" ht="13" x14ac:dyDescent="0.15">
      <c r="A845" s="26"/>
    </row>
    <row r="846" spans="1:1" ht="13" x14ac:dyDescent="0.15">
      <c r="A846" s="26"/>
    </row>
    <row r="847" spans="1:1" ht="13" x14ac:dyDescent="0.15">
      <c r="A847" s="26"/>
    </row>
    <row r="848" spans="1:1" ht="13" x14ac:dyDescent="0.15">
      <c r="A848" s="26"/>
    </row>
    <row r="849" spans="1:1" ht="13" x14ac:dyDescent="0.15">
      <c r="A849" s="26"/>
    </row>
    <row r="850" spans="1:1" ht="13" x14ac:dyDescent="0.15">
      <c r="A850" s="26"/>
    </row>
    <row r="851" spans="1:1" ht="13" x14ac:dyDescent="0.15">
      <c r="A851" s="26"/>
    </row>
    <row r="852" spans="1:1" ht="13" x14ac:dyDescent="0.15">
      <c r="A852" s="26"/>
    </row>
    <row r="853" spans="1:1" ht="13" x14ac:dyDescent="0.15">
      <c r="A853" s="26"/>
    </row>
    <row r="854" spans="1:1" ht="13" x14ac:dyDescent="0.15">
      <c r="A854" s="26"/>
    </row>
    <row r="855" spans="1:1" ht="13" x14ac:dyDescent="0.15">
      <c r="A855" s="26"/>
    </row>
    <row r="856" spans="1:1" ht="13" x14ac:dyDescent="0.15">
      <c r="A856" s="26"/>
    </row>
    <row r="857" spans="1:1" ht="13" x14ac:dyDescent="0.15">
      <c r="A857" s="26"/>
    </row>
    <row r="858" spans="1:1" ht="13" x14ac:dyDescent="0.15">
      <c r="A858" s="26"/>
    </row>
    <row r="859" spans="1:1" ht="13" x14ac:dyDescent="0.15">
      <c r="A859" s="26"/>
    </row>
    <row r="860" spans="1:1" ht="13" x14ac:dyDescent="0.15">
      <c r="A860" s="26"/>
    </row>
    <row r="861" spans="1:1" ht="13" x14ac:dyDescent="0.15">
      <c r="A861" s="26"/>
    </row>
    <row r="862" spans="1:1" ht="13" x14ac:dyDescent="0.15">
      <c r="A862" s="26"/>
    </row>
    <row r="863" spans="1:1" ht="13" x14ac:dyDescent="0.15">
      <c r="A863" s="26"/>
    </row>
    <row r="864" spans="1:1" ht="13" x14ac:dyDescent="0.15">
      <c r="A864" s="26"/>
    </row>
    <row r="865" spans="1:1" ht="13" x14ac:dyDescent="0.15">
      <c r="A865" s="26"/>
    </row>
    <row r="866" spans="1:1" ht="13" x14ac:dyDescent="0.15">
      <c r="A866" s="26"/>
    </row>
    <row r="867" spans="1:1" ht="13" x14ac:dyDescent="0.15">
      <c r="A867" s="26"/>
    </row>
    <row r="868" spans="1:1" ht="13" x14ac:dyDescent="0.15">
      <c r="A868" s="26"/>
    </row>
    <row r="869" spans="1:1" ht="13" x14ac:dyDescent="0.15">
      <c r="A869" s="26"/>
    </row>
    <row r="870" spans="1:1" ht="13" x14ac:dyDescent="0.15">
      <c r="A870" s="26"/>
    </row>
    <row r="871" spans="1:1" ht="13" x14ac:dyDescent="0.15">
      <c r="A871" s="26"/>
    </row>
    <row r="872" spans="1:1" ht="13" x14ac:dyDescent="0.15">
      <c r="A872" s="26"/>
    </row>
    <row r="873" spans="1:1" ht="13" x14ac:dyDescent="0.15">
      <c r="A873" s="26"/>
    </row>
    <row r="874" spans="1:1" ht="13" x14ac:dyDescent="0.15">
      <c r="A874" s="26"/>
    </row>
    <row r="875" spans="1:1" ht="13" x14ac:dyDescent="0.15">
      <c r="A875" s="26"/>
    </row>
    <row r="876" spans="1:1" ht="13" x14ac:dyDescent="0.15">
      <c r="A876" s="26"/>
    </row>
    <row r="877" spans="1:1" ht="13" x14ac:dyDescent="0.15">
      <c r="A877" s="26"/>
    </row>
    <row r="878" spans="1:1" ht="13" x14ac:dyDescent="0.15">
      <c r="A878" s="26"/>
    </row>
    <row r="879" spans="1:1" ht="13" x14ac:dyDescent="0.15">
      <c r="A879" s="26"/>
    </row>
    <row r="880" spans="1:1" ht="13" x14ac:dyDescent="0.15">
      <c r="A880" s="26"/>
    </row>
    <row r="881" spans="1:1" ht="13" x14ac:dyDescent="0.15">
      <c r="A881" s="26"/>
    </row>
    <row r="882" spans="1:1" ht="13" x14ac:dyDescent="0.15">
      <c r="A882" s="26"/>
    </row>
    <row r="883" spans="1:1" ht="13" x14ac:dyDescent="0.15">
      <c r="A883" s="26"/>
    </row>
    <row r="884" spans="1:1" ht="13" x14ac:dyDescent="0.15">
      <c r="A884" s="26"/>
    </row>
    <row r="885" spans="1:1" ht="13" x14ac:dyDescent="0.15">
      <c r="A885" s="26"/>
    </row>
    <row r="886" spans="1:1" ht="13" x14ac:dyDescent="0.15">
      <c r="A886" s="26"/>
    </row>
    <row r="887" spans="1:1" ht="13" x14ac:dyDescent="0.15">
      <c r="A887" s="26"/>
    </row>
    <row r="888" spans="1:1" ht="13" x14ac:dyDescent="0.15">
      <c r="A888" s="26"/>
    </row>
    <row r="889" spans="1:1" ht="13" x14ac:dyDescent="0.15">
      <c r="A889" s="26"/>
    </row>
    <row r="890" spans="1:1" ht="13" x14ac:dyDescent="0.15">
      <c r="A890" s="26"/>
    </row>
    <row r="891" spans="1:1" ht="13" x14ac:dyDescent="0.15">
      <c r="A891" s="26"/>
    </row>
    <row r="892" spans="1:1" ht="13" x14ac:dyDescent="0.15">
      <c r="A892" s="26"/>
    </row>
    <row r="893" spans="1:1" ht="13" x14ac:dyDescent="0.15">
      <c r="A893" s="26"/>
    </row>
    <row r="894" spans="1:1" ht="13" x14ac:dyDescent="0.15">
      <c r="A894" s="26"/>
    </row>
    <row r="895" spans="1:1" ht="13" x14ac:dyDescent="0.15">
      <c r="A895" s="26"/>
    </row>
    <row r="896" spans="1:1" ht="13" x14ac:dyDescent="0.15">
      <c r="A896" s="26"/>
    </row>
    <row r="897" spans="1:1" ht="13" x14ac:dyDescent="0.15">
      <c r="A897" s="26"/>
    </row>
    <row r="898" spans="1:1" ht="13" x14ac:dyDescent="0.15">
      <c r="A898" s="26"/>
    </row>
    <row r="899" spans="1:1" ht="13" x14ac:dyDescent="0.15">
      <c r="A899" s="26"/>
    </row>
    <row r="900" spans="1:1" ht="13" x14ac:dyDescent="0.15">
      <c r="A900" s="26"/>
    </row>
    <row r="901" spans="1:1" ht="13" x14ac:dyDescent="0.15">
      <c r="A901" s="26"/>
    </row>
    <row r="902" spans="1:1" ht="13" x14ac:dyDescent="0.15">
      <c r="A902" s="26"/>
    </row>
    <row r="903" spans="1:1" ht="13" x14ac:dyDescent="0.15">
      <c r="A903" s="26"/>
    </row>
    <row r="904" spans="1:1" ht="13" x14ac:dyDescent="0.15">
      <c r="A904" s="26"/>
    </row>
    <row r="905" spans="1:1" ht="13" x14ac:dyDescent="0.15">
      <c r="A905" s="26"/>
    </row>
    <row r="906" spans="1:1" ht="13" x14ac:dyDescent="0.15">
      <c r="A906" s="26"/>
    </row>
    <row r="907" spans="1:1" ht="13" x14ac:dyDescent="0.15">
      <c r="A907" s="26"/>
    </row>
    <row r="908" spans="1:1" ht="13" x14ac:dyDescent="0.15">
      <c r="A908" s="26"/>
    </row>
    <row r="909" spans="1:1" ht="13" x14ac:dyDescent="0.15">
      <c r="A909" s="26"/>
    </row>
    <row r="910" spans="1:1" ht="13" x14ac:dyDescent="0.15">
      <c r="A910" s="26"/>
    </row>
    <row r="911" spans="1:1" ht="13" x14ac:dyDescent="0.15">
      <c r="A911" s="26"/>
    </row>
    <row r="912" spans="1:1" ht="13" x14ac:dyDescent="0.15">
      <c r="A912" s="26"/>
    </row>
    <row r="913" spans="1:1" ht="13" x14ac:dyDescent="0.15">
      <c r="A913" s="26"/>
    </row>
    <row r="914" spans="1:1" ht="13" x14ac:dyDescent="0.15">
      <c r="A914" s="26"/>
    </row>
    <row r="915" spans="1:1" ht="13" x14ac:dyDescent="0.15">
      <c r="A915" s="26"/>
    </row>
    <row r="916" spans="1:1" ht="13" x14ac:dyDescent="0.15">
      <c r="A916" s="26"/>
    </row>
    <row r="917" spans="1:1" ht="13" x14ac:dyDescent="0.15">
      <c r="A917" s="26"/>
    </row>
    <row r="918" spans="1:1" ht="13" x14ac:dyDescent="0.15">
      <c r="A918" s="26"/>
    </row>
    <row r="919" spans="1:1" ht="13" x14ac:dyDescent="0.15">
      <c r="A919" s="26"/>
    </row>
    <row r="920" spans="1:1" ht="13" x14ac:dyDescent="0.15">
      <c r="A920" s="26"/>
    </row>
    <row r="921" spans="1:1" ht="13" x14ac:dyDescent="0.15">
      <c r="A921" s="26"/>
    </row>
    <row r="922" spans="1:1" ht="13" x14ac:dyDescent="0.15">
      <c r="A922" s="26"/>
    </row>
    <row r="923" spans="1:1" ht="13" x14ac:dyDescent="0.15">
      <c r="A923" s="26"/>
    </row>
    <row r="924" spans="1:1" ht="13" x14ac:dyDescent="0.15">
      <c r="A924" s="26"/>
    </row>
    <row r="925" spans="1:1" ht="13" x14ac:dyDescent="0.15">
      <c r="A925" s="26"/>
    </row>
    <row r="926" spans="1:1" ht="13" x14ac:dyDescent="0.15">
      <c r="A926" s="26"/>
    </row>
    <row r="927" spans="1:1" ht="13" x14ac:dyDescent="0.15">
      <c r="A927" s="26"/>
    </row>
    <row r="928" spans="1:1" ht="13" x14ac:dyDescent="0.15">
      <c r="A928" s="26"/>
    </row>
    <row r="929" spans="1:1" ht="13" x14ac:dyDescent="0.15">
      <c r="A929" s="26"/>
    </row>
    <row r="930" spans="1:1" ht="13" x14ac:dyDescent="0.15">
      <c r="A930" s="26"/>
    </row>
    <row r="931" spans="1:1" ht="13" x14ac:dyDescent="0.15">
      <c r="A931" s="26"/>
    </row>
    <row r="932" spans="1:1" ht="13" x14ac:dyDescent="0.15">
      <c r="A932" s="26"/>
    </row>
    <row r="933" spans="1:1" ht="13" x14ac:dyDescent="0.15">
      <c r="A933" s="26"/>
    </row>
    <row r="934" spans="1:1" ht="13" x14ac:dyDescent="0.15">
      <c r="A934" s="26"/>
    </row>
    <row r="935" spans="1:1" ht="13" x14ac:dyDescent="0.15">
      <c r="A935" s="26"/>
    </row>
    <row r="936" spans="1:1" ht="13" x14ac:dyDescent="0.15">
      <c r="A936" s="26"/>
    </row>
    <row r="937" spans="1:1" ht="13" x14ac:dyDescent="0.15">
      <c r="A937" s="26"/>
    </row>
    <row r="938" spans="1:1" ht="13" x14ac:dyDescent="0.15">
      <c r="A938" s="26"/>
    </row>
    <row r="939" spans="1:1" ht="13" x14ac:dyDescent="0.15">
      <c r="A939" s="26"/>
    </row>
    <row r="940" spans="1:1" ht="13" x14ac:dyDescent="0.15">
      <c r="A940" s="26"/>
    </row>
    <row r="941" spans="1:1" ht="13" x14ac:dyDescent="0.15">
      <c r="A941" s="26"/>
    </row>
    <row r="942" spans="1:1" ht="13" x14ac:dyDescent="0.15">
      <c r="A942" s="26"/>
    </row>
    <row r="943" spans="1:1" ht="13" x14ac:dyDescent="0.15">
      <c r="A943" s="26"/>
    </row>
    <row r="944" spans="1:1" ht="13" x14ac:dyDescent="0.15">
      <c r="A944" s="26"/>
    </row>
    <row r="945" spans="1:1" ht="13" x14ac:dyDescent="0.15">
      <c r="A945" s="26"/>
    </row>
    <row r="946" spans="1:1" ht="13" x14ac:dyDescent="0.15">
      <c r="A946" s="26"/>
    </row>
    <row r="947" spans="1:1" ht="13" x14ac:dyDescent="0.15">
      <c r="A947" s="26"/>
    </row>
    <row r="948" spans="1:1" ht="13" x14ac:dyDescent="0.15">
      <c r="A948" s="26"/>
    </row>
    <row r="949" spans="1:1" ht="13" x14ac:dyDescent="0.15">
      <c r="A949" s="26"/>
    </row>
    <row r="950" spans="1:1" ht="13" x14ac:dyDescent="0.15">
      <c r="A950" s="26"/>
    </row>
    <row r="951" spans="1:1" ht="13" x14ac:dyDescent="0.15">
      <c r="A951" s="26"/>
    </row>
    <row r="952" spans="1:1" ht="13" x14ac:dyDescent="0.15">
      <c r="A952" s="26"/>
    </row>
    <row r="953" spans="1:1" ht="13" x14ac:dyDescent="0.15">
      <c r="A953" s="26"/>
    </row>
    <row r="954" spans="1:1" ht="13" x14ac:dyDescent="0.15">
      <c r="A954" s="26"/>
    </row>
    <row r="955" spans="1:1" ht="13" x14ac:dyDescent="0.15">
      <c r="A955" s="26"/>
    </row>
    <row r="956" spans="1:1" ht="13" x14ac:dyDescent="0.15">
      <c r="A956" s="26"/>
    </row>
    <row r="957" spans="1:1" ht="13" x14ac:dyDescent="0.15">
      <c r="A957" s="26"/>
    </row>
    <row r="958" spans="1:1" ht="13" x14ac:dyDescent="0.15">
      <c r="A958" s="26"/>
    </row>
    <row r="959" spans="1:1" ht="13" x14ac:dyDescent="0.15">
      <c r="A959" s="26"/>
    </row>
    <row r="960" spans="1:1" ht="13" x14ac:dyDescent="0.15">
      <c r="A960" s="26"/>
    </row>
    <row r="961" spans="1:1" ht="13" x14ac:dyDescent="0.15">
      <c r="A961" s="26"/>
    </row>
    <row r="962" spans="1:1" ht="13" x14ac:dyDescent="0.15">
      <c r="A962" s="26"/>
    </row>
    <row r="963" spans="1:1" ht="13" x14ac:dyDescent="0.15">
      <c r="A963" s="26"/>
    </row>
    <row r="964" spans="1:1" ht="13" x14ac:dyDescent="0.15">
      <c r="A964" s="26"/>
    </row>
    <row r="965" spans="1:1" ht="13" x14ac:dyDescent="0.15">
      <c r="A965" s="26"/>
    </row>
    <row r="966" spans="1:1" ht="13" x14ac:dyDescent="0.15">
      <c r="A966" s="26"/>
    </row>
    <row r="967" spans="1:1" ht="13" x14ac:dyDescent="0.15">
      <c r="A967" s="26"/>
    </row>
    <row r="968" spans="1:1" ht="13" x14ac:dyDescent="0.15">
      <c r="A968" s="26"/>
    </row>
    <row r="969" spans="1:1" ht="13" x14ac:dyDescent="0.15">
      <c r="A969" s="26"/>
    </row>
    <row r="970" spans="1:1" ht="13" x14ac:dyDescent="0.15">
      <c r="A970" s="26"/>
    </row>
    <row r="971" spans="1:1" ht="13" x14ac:dyDescent="0.15">
      <c r="A971" s="26"/>
    </row>
    <row r="972" spans="1:1" ht="13" x14ac:dyDescent="0.15">
      <c r="A972" s="26"/>
    </row>
    <row r="973" spans="1:1" ht="13" x14ac:dyDescent="0.15">
      <c r="A973" s="26"/>
    </row>
    <row r="974" spans="1:1" ht="13" x14ac:dyDescent="0.15">
      <c r="A974" s="26"/>
    </row>
    <row r="975" spans="1:1" ht="13" x14ac:dyDescent="0.15">
      <c r="A975" s="26"/>
    </row>
    <row r="976" spans="1:1" ht="13" x14ac:dyDescent="0.15">
      <c r="A976" s="26"/>
    </row>
    <row r="977" spans="1:1" ht="13" x14ac:dyDescent="0.15">
      <c r="A977" s="26"/>
    </row>
    <row r="978" spans="1:1" ht="13" x14ac:dyDescent="0.15">
      <c r="A978" s="26"/>
    </row>
    <row r="979" spans="1:1" ht="13" x14ac:dyDescent="0.15">
      <c r="A979" s="26"/>
    </row>
    <row r="980" spans="1:1" ht="13" x14ac:dyDescent="0.15">
      <c r="A980" s="26"/>
    </row>
    <row r="981" spans="1:1" ht="13" x14ac:dyDescent="0.15">
      <c r="A981" s="26"/>
    </row>
    <row r="982" spans="1:1" ht="13" x14ac:dyDescent="0.15">
      <c r="A982" s="26"/>
    </row>
    <row r="983" spans="1:1" ht="13" x14ac:dyDescent="0.15">
      <c r="A983" s="26"/>
    </row>
    <row r="984" spans="1:1" ht="13" x14ac:dyDescent="0.15">
      <c r="A984" s="26"/>
    </row>
    <row r="985" spans="1:1" ht="13" x14ac:dyDescent="0.15">
      <c r="A985" s="26"/>
    </row>
    <row r="986" spans="1:1" ht="13" x14ac:dyDescent="0.15">
      <c r="A986" s="26"/>
    </row>
    <row r="987" spans="1:1" ht="13" x14ac:dyDescent="0.15">
      <c r="A987" s="26"/>
    </row>
    <row r="988" spans="1:1" ht="13" x14ac:dyDescent="0.15">
      <c r="A988" s="26"/>
    </row>
    <row r="989" spans="1:1" ht="13" x14ac:dyDescent="0.15">
      <c r="A989" s="26"/>
    </row>
    <row r="990" spans="1:1" ht="13" x14ac:dyDescent="0.15">
      <c r="A990" s="26"/>
    </row>
    <row r="991" spans="1:1" ht="13" x14ac:dyDescent="0.15">
      <c r="A991" s="26"/>
    </row>
    <row r="992" spans="1:1" ht="13" x14ac:dyDescent="0.15">
      <c r="A992" s="26"/>
    </row>
    <row r="993" spans="1:1" ht="13" x14ac:dyDescent="0.15">
      <c r="A993" s="26"/>
    </row>
    <row r="994" spans="1:1" ht="13" x14ac:dyDescent="0.15">
      <c r="A994" s="26"/>
    </row>
    <row r="995" spans="1:1" ht="13" x14ac:dyDescent="0.15">
      <c r="A995" s="26"/>
    </row>
    <row r="996" spans="1:1" ht="13" x14ac:dyDescent="0.15">
      <c r="A996" s="26"/>
    </row>
    <row r="997" spans="1:1" ht="13" x14ac:dyDescent="0.15">
      <c r="A997" s="26"/>
    </row>
    <row r="998" spans="1:1" ht="13" x14ac:dyDescent="0.15">
      <c r="A998" s="26"/>
    </row>
    <row r="999" spans="1:1" ht="13" x14ac:dyDescent="0.15">
      <c r="A999" s="26"/>
    </row>
    <row r="1000" spans="1:1" ht="13" x14ac:dyDescent="0.15">
      <c r="A1000" s="26"/>
    </row>
    <row r="1001" spans="1:1" ht="13" x14ac:dyDescent="0.15">
      <c r="A1001" s="26"/>
    </row>
    <row r="1002" spans="1:1" ht="13" x14ac:dyDescent="0.15">
      <c r="A1002" s="26"/>
    </row>
    <row r="1003" spans="1:1" ht="13" x14ac:dyDescent="0.15">
      <c r="A1003" s="26"/>
    </row>
    <row r="1004" spans="1:1" ht="13" x14ac:dyDescent="0.15">
      <c r="A1004" s="26"/>
    </row>
    <row r="1005" spans="1:1" ht="13" x14ac:dyDescent="0.15">
      <c r="A1005" s="26"/>
    </row>
    <row r="1006" spans="1:1" ht="13" x14ac:dyDescent="0.15">
      <c r="A1006" s="26"/>
    </row>
    <row r="1007" spans="1:1" ht="13" x14ac:dyDescent="0.15">
      <c r="A1007" s="26"/>
    </row>
    <row r="1008" spans="1:1" ht="13" x14ac:dyDescent="0.15">
      <c r="A1008" s="26"/>
    </row>
    <row r="1009" spans="1:1" ht="13" x14ac:dyDescent="0.15">
      <c r="A1009" s="26"/>
    </row>
    <row r="1010" spans="1:1" ht="13" x14ac:dyDescent="0.15">
      <c r="A1010" s="26"/>
    </row>
    <row r="1011" spans="1:1" ht="13" x14ac:dyDescent="0.15">
      <c r="A1011" s="26"/>
    </row>
    <row r="1012" spans="1:1" ht="13" x14ac:dyDescent="0.15">
      <c r="A1012" s="26"/>
    </row>
    <row r="1013" spans="1:1" ht="13" x14ac:dyDescent="0.15">
      <c r="A1013" s="26"/>
    </row>
    <row r="1014" spans="1:1" ht="13" x14ac:dyDescent="0.15">
      <c r="A1014" s="26"/>
    </row>
    <row r="1015" spans="1:1" ht="13" x14ac:dyDescent="0.15">
      <c r="A1015" s="26"/>
    </row>
    <row r="1016" spans="1:1" ht="13" x14ac:dyDescent="0.15">
      <c r="A1016" s="26"/>
    </row>
    <row r="1017" spans="1:1" ht="13" x14ac:dyDescent="0.15">
      <c r="A1017" s="26"/>
    </row>
    <row r="1018" spans="1:1" ht="13" x14ac:dyDescent="0.15">
      <c r="A1018" s="26"/>
    </row>
    <row r="1019" spans="1:1" ht="13" x14ac:dyDescent="0.15">
      <c r="A1019" s="26"/>
    </row>
  </sheetData>
  <mergeCells count="18">
    <mergeCell ref="G194:M194"/>
    <mergeCell ref="B187:M193"/>
    <mergeCell ref="B186:M186"/>
    <mergeCell ref="B185:M185"/>
    <mergeCell ref="B3:M3"/>
    <mergeCell ref="B4:E4"/>
    <mergeCell ref="G4:M4"/>
    <mergeCell ref="B5:E5"/>
    <mergeCell ref="G5:M5"/>
    <mergeCell ref="B13:M13"/>
    <mergeCell ref="B141:M141"/>
    <mergeCell ref="B133:M133"/>
    <mergeCell ref="B183:M183"/>
    <mergeCell ref="B8:M8"/>
    <mergeCell ref="B147:C147"/>
    <mergeCell ref="B1:M1"/>
    <mergeCell ref="B2:M2"/>
    <mergeCell ref="N1:O1"/>
  </mergeCells>
  <phoneticPr fontId="6" type="noConversion"/>
  <conditionalFormatting sqref="F196:F314">
    <cfRule type="expression" dxfId="750" priority="25">
      <formula>NOT(ISERROR(FIND(".", F196)))</formula>
    </cfRule>
  </conditionalFormatting>
  <conditionalFormatting sqref="F196:F314">
    <cfRule type="expression" dxfId="749" priority="213" stopIfTrue="1">
      <formula>NOT(ISERROR(FIND("$", $B196)))</formula>
    </cfRule>
  </conditionalFormatting>
  <conditionalFormatting sqref="G196:G314">
    <cfRule type="expression" dxfId="748" priority="22">
      <formula>NOT(ISERROR(FIND(".", G196)))</formula>
    </cfRule>
  </conditionalFormatting>
  <conditionalFormatting sqref="G196:G314">
    <cfRule type="expression" dxfId="747" priority="23" stopIfTrue="1">
      <formula>NOT(ISERROR(FIND("$", $B196)))</formula>
    </cfRule>
  </conditionalFormatting>
  <conditionalFormatting sqref="H196:H314">
    <cfRule type="expression" dxfId="746" priority="20">
      <formula>NOT(ISERROR(FIND(".", H196)))</formula>
    </cfRule>
  </conditionalFormatting>
  <conditionalFormatting sqref="H196:H314">
    <cfRule type="expression" dxfId="745" priority="21" stopIfTrue="1">
      <formula>NOT(ISERROR(FIND("$", $B196)))</formula>
    </cfRule>
  </conditionalFormatting>
  <conditionalFormatting sqref="I196:I314">
    <cfRule type="expression" dxfId="744" priority="18">
      <formula>NOT(ISERROR(FIND(".", I196)))</formula>
    </cfRule>
  </conditionalFormatting>
  <conditionalFormatting sqref="I196:I314">
    <cfRule type="expression" dxfId="743" priority="19" stopIfTrue="1">
      <formula>NOT(ISERROR(FIND("$", $B196)))</formula>
    </cfRule>
  </conditionalFormatting>
  <conditionalFormatting sqref="J196:J314">
    <cfRule type="expression" dxfId="742" priority="16">
      <formula>NOT(ISERROR(FIND(".", J196)))</formula>
    </cfRule>
  </conditionalFormatting>
  <conditionalFormatting sqref="J196:J314">
    <cfRule type="expression" dxfId="741" priority="17" stopIfTrue="1">
      <formula>NOT(ISERROR(FIND("$", $B196)))</formula>
    </cfRule>
  </conditionalFormatting>
  <conditionalFormatting sqref="K196:K314">
    <cfRule type="expression" dxfId="740" priority="14">
      <formula>NOT(ISERROR(FIND(".", K196)))</formula>
    </cfRule>
  </conditionalFormatting>
  <conditionalFormatting sqref="K196:K314">
    <cfRule type="expression" dxfId="739" priority="15" stopIfTrue="1">
      <formula>NOT(ISERROR(FIND("$", $B196)))</formula>
    </cfRule>
  </conditionalFormatting>
  <conditionalFormatting sqref="L196:L314">
    <cfRule type="expression" dxfId="738" priority="12">
      <formula>NOT(ISERROR(FIND(".", L196)))</formula>
    </cfRule>
  </conditionalFormatting>
  <conditionalFormatting sqref="L196:L314">
    <cfRule type="expression" dxfId="737" priority="13" stopIfTrue="1">
      <formula>NOT(ISERROR(FIND("$", $B196)))</formula>
    </cfRule>
  </conditionalFormatting>
  <conditionalFormatting sqref="M196:M314">
    <cfRule type="expression" dxfId="736" priority="10">
      <formula>NOT(ISERROR(FIND(".", M196)))</formula>
    </cfRule>
  </conditionalFormatting>
  <conditionalFormatting sqref="M196:M314">
    <cfRule type="expression" dxfId="735" priority="11" stopIfTrue="1">
      <formula>NOT(ISERROR(FIND("$", $B196)))</formula>
    </cfRule>
  </conditionalFormatting>
  <conditionalFormatting sqref="G196:M314">
    <cfRule type="expression" dxfId="734" priority="8" stopIfTrue="1">
      <formula>IF(AND(NOT(G196 = 0), ABS(G196) &lt; 0.01), TRUE, FALSE)</formula>
    </cfRule>
    <cfRule type="expression" dxfId="733" priority="9" stopIfTrue="1">
      <formula>NOT(ISERROR(FIND("$", $B196)))</formula>
    </cfRule>
  </conditionalFormatting>
  <conditionalFormatting sqref="G11:M11">
    <cfRule type="expression" dxfId="732" priority="3">
      <formula>IF(G11 = "None", FALSE, TRUE)</formula>
    </cfRule>
    <cfRule type="expression" dxfId="731" priority="4">
      <formula>IF(G11 = "None", TRUE, FALSE)</formula>
    </cfRule>
  </conditionalFormatting>
  <conditionalFormatting sqref="G10:M10">
    <cfRule type="expression" dxfId="730" priority="1">
      <formula>IF(G10 = "None", FALSE, TRUE)</formula>
    </cfRule>
    <cfRule type="expression" dxfId="729" priority="2">
      <formula>IF(G10 = "None", TRUE, FALSE)</formula>
    </cfRule>
  </conditionalFormatting>
  <conditionalFormatting sqref="A1:A10019">
    <cfRule type="duplicateValues" dxfId="728" priority="1215"/>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11" orientation="landscape" r:id="rId1"/>
  <headerFooter alignWithMargins="0">
    <oddFooter>&amp;C &amp;P&amp;R&amp;F, &amp;D</oddFooter>
  </headerFooter>
  <cellWatches>
    <cellWatch r="E215"/>
    <cellWatch r="G215"/>
  </cellWatche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N259"/>
  <sheetViews>
    <sheetView workbookViewId="0">
      <pane ySplit="5" topLeftCell="A6" activePane="bottomLeft" state="frozen"/>
      <selection pane="bottomLeft" activeCell="D23" sqref="D23"/>
    </sheetView>
  </sheetViews>
  <sheetFormatPr baseColWidth="10" defaultColWidth="9.5" defaultRowHeight="14" x14ac:dyDescent="0.15"/>
  <cols>
    <col min="1" max="1" width="26.5" style="257" customWidth="1"/>
    <col min="2" max="2" width="63.5" style="257" customWidth="1"/>
    <col min="3" max="3" width="27.5" style="257" customWidth="1"/>
    <col min="4" max="4" width="20.5" style="257" bestFit="1" customWidth="1"/>
    <col min="5" max="5" width="20.5" style="257" customWidth="1"/>
    <col min="6" max="7" width="16.5" style="257" customWidth="1"/>
    <col min="8" max="8" width="32.5" style="257" customWidth="1"/>
    <col min="9" max="11" width="16.5" style="257" customWidth="1"/>
    <col min="12" max="12" width="15.5" style="257" customWidth="1"/>
    <col min="13" max="13" width="44.5" style="257" bestFit="1" customWidth="1"/>
    <col min="14" max="14" width="18.5" style="257" customWidth="1"/>
    <col min="15" max="15" width="12" style="257" customWidth="1"/>
    <col min="16" max="16" width="8.5" style="257" customWidth="1"/>
    <col min="17" max="17" width="14.5" style="258" customWidth="1"/>
    <col min="18" max="18" width="44.5" style="257" bestFit="1" customWidth="1"/>
    <col min="19" max="19" width="19.5" style="257" customWidth="1"/>
    <col min="20" max="20" width="10.5" style="257" customWidth="1"/>
    <col min="21" max="21" width="9.5" style="257" customWidth="1"/>
    <col min="22" max="22" width="16.5" style="257" customWidth="1"/>
    <col min="23" max="23" width="44.5" style="258" bestFit="1" customWidth="1"/>
    <col min="24" max="24" width="18.5" style="258" customWidth="1"/>
    <col min="25" max="26" width="9.5" style="258" customWidth="1"/>
    <col min="27" max="27" width="16.5" style="257" customWidth="1"/>
    <col min="28" max="28" width="44.5" style="258" bestFit="1" customWidth="1"/>
    <col min="29" max="29" width="21.5" style="258" customWidth="1"/>
    <col min="30" max="30" width="9.5" style="258" customWidth="1"/>
    <col min="31" max="31" width="10" style="258" customWidth="1"/>
    <col min="32" max="32" width="14.5" style="258" customWidth="1"/>
    <col min="33" max="33" width="44.5" style="258" bestFit="1" customWidth="1"/>
    <col min="34" max="34" width="20" style="258" customWidth="1"/>
    <col min="35" max="35" width="9.5" style="258" customWidth="1"/>
    <col min="36" max="36" width="10.5" style="258" customWidth="1"/>
    <col min="37" max="37" width="11.5" style="258" customWidth="1"/>
    <col min="38" max="38" width="44.5" style="258" bestFit="1" customWidth="1"/>
    <col min="39" max="39" width="20" style="258" customWidth="1"/>
    <col min="40" max="40" width="8.5" style="258" customWidth="1"/>
    <col min="41" max="41" width="10.5" style="258" customWidth="1"/>
    <col min="42" max="42" width="11.5" style="258" customWidth="1"/>
    <col min="43" max="43" width="44.5" style="258" bestFit="1" customWidth="1"/>
    <col min="44" max="44" width="19.5" style="258" customWidth="1"/>
    <col min="45" max="45" width="9.5" style="258" customWidth="1"/>
    <col min="46" max="46" width="11" style="258" customWidth="1"/>
    <col min="47" max="47" width="9.5" style="258" customWidth="1"/>
    <col min="48" max="48" width="44.5" style="258" bestFit="1" customWidth="1"/>
    <col min="49" max="49" width="21" style="258" customWidth="1"/>
    <col min="50" max="50" width="10.5" style="258" customWidth="1"/>
    <col min="51" max="52" width="10" style="258" customWidth="1"/>
    <col min="53" max="53" width="46.83203125" style="258" customWidth="1"/>
    <col min="54" max="54" width="20.1640625" style="258" bestFit="1" customWidth="1"/>
    <col min="55" max="57" width="10" style="258" customWidth="1"/>
    <col min="58" max="58" width="44.5" style="258" customWidth="1"/>
    <col min="59" max="59" width="21" style="258" bestFit="1" customWidth="1"/>
    <col min="60" max="62" width="10" style="258" customWidth="1"/>
    <col min="63" max="63" width="9.5" style="258" customWidth="1"/>
    <col min="64" max="64" width="44.5" style="258" bestFit="1" customWidth="1"/>
    <col min="65" max="65" width="16.5" style="258" customWidth="1"/>
    <col min="66" max="66" width="11" style="258" customWidth="1"/>
    <col min="67" max="67" width="11.5" style="258" customWidth="1"/>
    <col min="68" max="68" width="9.5" style="258" customWidth="1"/>
    <col min="69" max="69" width="44.5" style="258" bestFit="1" customWidth="1"/>
    <col min="70" max="70" width="17.5" style="258" customWidth="1"/>
    <col min="71" max="71" width="9.5" style="258" customWidth="1"/>
    <col min="72" max="72" width="12.5" style="258" customWidth="1"/>
    <col min="73" max="73" width="9.5" style="258" customWidth="1"/>
    <col min="74" max="74" width="44.5" style="258" bestFit="1" customWidth="1"/>
    <col min="75" max="75" width="15.5" style="258" customWidth="1"/>
    <col min="76" max="76" width="13.5" style="258" customWidth="1"/>
    <col min="77" max="77" width="14.5" style="258" customWidth="1"/>
    <col min="78" max="78" width="16.5" style="258" customWidth="1"/>
    <col min="79" max="79" width="44.5" style="258" bestFit="1" customWidth="1"/>
    <col min="80" max="80" width="15.5" style="258" customWidth="1"/>
    <col min="81" max="81" width="13.5" style="258" customWidth="1"/>
    <col min="82" max="82" width="14.5" style="258" customWidth="1"/>
    <col min="83" max="83" width="16.5" style="258" customWidth="1"/>
    <col min="84" max="84" width="47" style="258" customWidth="1"/>
    <col min="85" max="85" width="16.5" style="258" customWidth="1"/>
    <col min="86" max="86" width="11.5" style="258" customWidth="1"/>
    <col min="87" max="87" width="12.5" style="258" customWidth="1"/>
    <col min="88" max="88" width="19.5" style="258" customWidth="1"/>
    <col min="89" max="89" width="47" style="258" customWidth="1"/>
    <col min="90" max="90" width="16.5" style="258" customWidth="1"/>
    <col min="91" max="91" width="11.5" style="258" customWidth="1"/>
    <col min="92" max="92" width="12.5" style="258" customWidth="1"/>
    <col min="94" max="94" width="47" style="258" customWidth="1"/>
    <col min="95" max="95" width="33.5" style="258" customWidth="1"/>
    <col min="96" max="96" width="29" style="258" customWidth="1"/>
    <col min="97" max="97" width="18.5" style="258" bestFit="1" customWidth="1"/>
    <col min="98" max="98" width="19.5" style="258" customWidth="1"/>
    <col min="99" max="99" width="47" style="258" customWidth="1"/>
    <col min="100" max="100" width="19.5" style="258" customWidth="1"/>
    <col min="101" max="101" width="13.5" style="258" customWidth="1"/>
    <col min="102" max="102" width="14.5" style="258" customWidth="1"/>
    <col min="103" max="103" width="9.5" style="246"/>
    <col min="104" max="104" width="47" style="258" customWidth="1"/>
    <col min="105" max="105" width="19.5" style="258" customWidth="1"/>
    <col min="106" max="106" width="13.5" style="258" customWidth="1"/>
    <col min="107" max="107" width="14.5" style="258" customWidth="1"/>
    <col min="108" max="108" width="9.5" style="246"/>
    <col min="109" max="109" width="15.5" style="257" customWidth="1"/>
    <col min="110" max="117" width="9.5" style="246"/>
    <col min="118" max="118" width="9.5" style="73"/>
    <col min="119" max="16384" width="9.5" style="257"/>
  </cols>
  <sheetData>
    <row r="1" spans="1:107" ht="36" customHeight="1" thickBot="1" x14ac:dyDescent="0.2">
      <c r="A1" s="1009" t="s">
        <v>12</v>
      </c>
      <c r="B1" s="441" t="s">
        <v>698</v>
      </c>
      <c r="C1" s="442"/>
      <c r="D1" s="442"/>
      <c r="E1" s="442"/>
      <c r="F1" s="442"/>
      <c r="G1" s="443"/>
      <c r="H1" s="1260" t="s">
        <v>9</v>
      </c>
      <c r="I1" s="1261"/>
      <c r="M1" s="270" t="s">
        <v>28</v>
      </c>
      <c r="N1" s="260" t="s">
        <v>699</v>
      </c>
      <c r="O1" s="729" t="s">
        <v>700</v>
      </c>
      <c r="P1" s="262">
        <f t="array" ref="P1">SUM(IF($A$1:O1 ="Chemistry", 1, 0))</f>
        <v>1</v>
      </c>
      <c r="Q1" s="730"/>
      <c r="R1" s="270" t="s">
        <v>28</v>
      </c>
      <c r="S1" s="260" t="s">
        <v>701</v>
      </c>
      <c r="T1" s="729" t="s">
        <v>700</v>
      </c>
      <c r="U1" s="262">
        <f t="array" ref="U1">SUM(IF($A$1:T1 ="Chemistry", 1, 0))</f>
        <v>2</v>
      </c>
      <c r="V1" s="731"/>
      <c r="W1" s="270" t="s">
        <v>28</v>
      </c>
      <c r="X1" s="260" t="s">
        <v>702</v>
      </c>
      <c r="Y1" s="729" t="s">
        <v>700</v>
      </c>
      <c r="Z1" s="262">
        <f t="array" ref="Z1">SUM(IF($A$1:Y1 ="Chemistry", 1, 0))</f>
        <v>3</v>
      </c>
      <c r="AA1" s="731"/>
      <c r="AB1" s="270" t="s">
        <v>28</v>
      </c>
      <c r="AC1" s="260" t="s">
        <v>703</v>
      </c>
      <c r="AD1" s="729" t="s">
        <v>700</v>
      </c>
      <c r="AE1" s="262">
        <f t="array" ref="AE1">SUM(IF($A$1:AD1 ="Chemistry", 1, 0))</f>
        <v>4</v>
      </c>
      <c r="AF1" s="69"/>
      <c r="AG1" s="270" t="s">
        <v>28</v>
      </c>
      <c r="AH1" s="260" t="s">
        <v>704</v>
      </c>
      <c r="AI1" s="729" t="s">
        <v>700</v>
      </c>
      <c r="AJ1" s="262">
        <f t="array" ref="AJ1">SUM(IF($A$1:AI1 ="Chemistry", 1, 0))</f>
        <v>5</v>
      </c>
      <c r="AK1" s="732"/>
      <c r="AL1" s="270" t="s">
        <v>28</v>
      </c>
      <c r="AM1" s="260" t="s">
        <v>705</v>
      </c>
      <c r="AN1" s="729" t="s">
        <v>700</v>
      </c>
      <c r="AO1" s="262">
        <f t="array" ref="AO1">SUM(IF($A$1:AN1 ="Chemistry", 1, 0))</f>
        <v>6</v>
      </c>
      <c r="AP1" s="732"/>
      <c r="AQ1" s="270" t="s">
        <v>28</v>
      </c>
      <c r="AR1" s="260" t="s">
        <v>706</v>
      </c>
      <c r="AS1" s="729" t="s">
        <v>700</v>
      </c>
      <c r="AT1" s="262">
        <f t="array" ref="AT1">SUM(IF($A$1:AS1 ="Chemistry", 1, 0))</f>
        <v>7</v>
      </c>
      <c r="AU1" s="732"/>
      <c r="AV1" s="270" t="s">
        <v>28</v>
      </c>
      <c r="AW1" s="260" t="s">
        <v>32</v>
      </c>
      <c r="AX1" s="729" t="s">
        <v>700</v>
      </c>
      <c r="AY1" s="262">
        <f t="array" ref="AY1">SUM(IF($A$1:AX1 ="Chemistry", 1, 0))</f>
        <v>8</v>
      </c>
      <c r="AZ1" s="730"/>
      <c r="BA1" s="270" t="s">
        <v>28</v>
      </c>
      <c r="BB1" s="260" t="s">
        <v>707</v>
      </c>
      <c r="BC1" s="729" t="s">
        <v>700</v>
      </c>
      <c r="BD1" s="262">
        <f t="array" ref="BD1">SUM(IF($A$1:BC1 ="Chemistry", 1, 0))</f>
        <v>9</v>
      </c>
      <c r="BE1" s="732"/>
      <c r="BF1" s="270" t="s">
        <v>28</v>
      </c>
      <c r="BG1" s="260" t="s">
        <v>708</v>
      </c>
      <c r="BH1" s="729" t="s">
        <v>700</v>
      </c>
      <c r="BI1" s="262">
        <f t="array" ref="BI1">SUM(IF($A$1:BH1 ="Chemistry", 1, 0))</f>
        <v>10</v>
      </c>
      <c r="BJ1" s="730"/>
      <c r="BK1" s="732"/>
      <c r="BL1" s="270" t="s">
        <v>28</v>
      </c>
      <c r="BM1" s="260" t="s">
        <v>709</v>
      </c>
      <c r="BN1" s="729" t="s">
        <v>700</v>
      </c>
      <c r="BO1" s="262">
        <f t="array" ref="BO1">SUM(IF($A$1:BN1 ="Chemistry", 1, 0))</f>
        <v>11</v>
      </c>
      <c r="BP1" s="732"/>
      <c r="BQ1" s="270" t="s">
        <v>28</v>
      </c>
      <c r="BR1" s="260" t="s">
        <v>710</v>
      </c>
      <c r="BS1" s="729" t="s">
        <v>700</v>
      </c>
      <c r="BT1" s="262">
        <f t="array" ref="BT1">SUM(IF($A$1:BS1 ="Chemistry", 1, 0))</f>
        <v>12</v>
      </c>
      <c r="BU1" s="732"/>
      <c r="BV1" s="270" t="s">
        <v>28</v>
      </c>
      <c r="BW1" s="260" t="s">
        <v>711</v>
      </c>
      <c r="BX1" s="729" t="s">
        <v>700</v>
      </c>
      <c r="BY1" s="262">
        <f t="array" ref="BY1">SUM(IF($A$1:BX1 ="Chemistry", 1, 0))</f>
        <v>13</v>
      </c>
      <c r="BZ1" s="732"/>
      <c r="CA1" s="270" t="s">
        <v>28</v>
      </c>
      <c r="CB1" s="260" t="s">
        <v>712</v>
      </c>
      <c r="CC1" s="729" t="s">
        <v>700</v>
      </c>
      <c r="CD1" s="262">
        <f t="array" ref="CD1">SUM(IF($A$1:CC1 ="Chemistry", 1, 0))</f>
        <v>14</v>
      </c>
      <c r="CE1" s="732"/>
      <c r="CF1" s="270" t="s">
        <v>28</v>
      </c>
      <c r="CG1" s="260" t="s">
        <v>713</v>
      </c>
      <c r="CH1" s="729" t="s">
        <v>700</v>
      </c>
      <c r="CI1" s="262">
        <f t="array" ref="CI1">SUM(IF($A$1:CH1 ="Chemistry", 1, 0))</f>
        <v>15</v>
      </c>
      <c r="CK1" s="270" t="s">
        <v>28</v>
      </c>
      <c r="CL1" s="260" t="s">
        <v>714</v>
      </c>
      <c r="CM1" s="729" t="s">
        <v>700</v>
      </c>
      <c r="CN1" s="262">
        <f t="array" ref="CN1">SUM(IF($A$1:CM1 ="Chemistry", 1, 0))</f>
        <v>16</v>
      </c>
      <c r="CP1" s="259" t="s">
        <v>28</v>
      </c>
      <c r="CQ1" s="260" t="str">
        <f>100*CS8 &amp; "%/" &amp; (1-CS8)*100 &amp; "% " &amp; LEFT(CS7,FIND("-",CS7)-1)&amp;"/" &amp; LEFT(CS9,FIND("-",CS9)-1) &amp; " - G"</f>
        <v>50%/50% NMC532/LMO - G</v>
      </c>
      <c r="CR1" s="261" t="s">
        <v>700</v>
      </c>
      <c r="CS1" s="262">
        <f t="array" ref="CS1">SUM(IF($A$1:CR1 ="Chemistry", 1, 0))</f>
        <v>17</v>
      </c>
      <c r="CU1" s="270" t="s">
        <v>28</v>
      </c>
      <c r="CV1" s="260" t="s">
        <v>715</v>
      </c>
      <c r="CW1" s="729" t="s">
        <v>700</v>
      </c>
      <c r="CX1" s="262">
        <f t="array" ref="CX1">SUM(IF($A$1:CW1 ="Chemistry", 1, 0))</f>
        <v>18</v>
      </c>
      <c r="CZ1" s="270" t="s">
        <v>28</v>
      </c>
      <c r="DA1" s="260" t="s">
        <v>716</v>
      </c>
      <c r="DB1" s="729" t="s">
        <v>700</v>
      </c>
      <c r="DC1" s="262">
        <f t="array" ref="DC1">SUM(IF($A$1:DB1 ="Chemistry", 1, 0))</f>
        <v>19</v>
      </c>
    </row>
    <row r="2" spans="1:107" ht="27.75" customHeight="1" thickBot="1" x14ac:dyDescent="0.2">
      <c r="A2" s="1010" t="s">
        <v>14</v>
      </c>
      <c r="B2" s="444" t="s">
        <v>717</v>
      </c>
      <c r="C2" s="445" t="str">
        <f>Dashboard!D13</f>
        <v>NMC532-G (Power)</v>
      </c>
      <c r="D2" s="446" t="s">
        <v>718</v>
      </c>
      <c r="E2" s="1104"/>
      <c r="F2" s="447">
        <f>MATCH(C2, 1:1, 0)</f>
        <v>24</v>
      </c>
      <c r="G2" s="448"/>
      <c r="H2" s="987" t="s">
        <v>8</v>
      </c>
      <c r="I2" s="988" t="s">
        <v>10</v>
      </c>
      <c r="M2" s="264" t="s">
        <v>719</v>
      </c>
      <c r="N2" s="265" t="s">
        <v>720</v>
      </c>
      <c r="O2" s="266"/>
      <c r="P2" s="267"/>
      <c r="Q2" s="268"/>
      <c r="R2" s="264" t="s">
        <v>719</v>
      </c>
      <c r="S2" s="265" t="s">
        <v>720</v>
      </c>
      <c r="T2" s="266"/>
      <c r="U2" s="267"/>
      <c r="W2" s="264" t="s">
        <v>719</v>
      </c>
      <c r="X2" s="265" t="s">
        <v>721</v>
      </c>
      <c r="Y2" s="266"/>
      <c r="Z2" s="267"/>
      <c r="AB2" s="264" t="s">
        <v>719</v>
      </c>
      <c r="AC2" s="265" t="s">
        <v>721</v>
      </c>
      <c r="AD2" s="266"/>
      <c r="AE2" s="267"/>
      <c r="AF2"/>
      <c r="AG2" s="264" t="s">
        <v>719</v>
      </c>
      <c r="AH2" s="265" t="s">
        <v>721</v>
      </c>
      <c r="AI2" s="266"/>
      <c r="AJ2" s="267"/>
      <c r="AL2" s="264" t="s">
        <v>719</v>
      </c>
      <c r="AM2" s="265" t="s">
        <v>721</v>
      </c>
      <c r="AN2" s="266"/>
      <c r="AO2" s="267"/>
      <c r="AQ2" s="264" t="s">
        <v>719</v>
      </c>
      <c r="AR2" s="265" t="s">
        <v>721</v>
      </c>
      <c r="AS2" s="266"/>
      <c r="AT2" s="267"/>
      <c r="AV2" s="264" t="s">
        <v>719</v>
      </c>
      <c r="AW2" s="265" t="s">
        <v>721</v>
      </c>
      <c r="AX2" s="266"/>
      <c r="AY2" s="267"/>
      <c r="AZ2" s="268"/>
      <c r="BA2" s="264" t="s">
        <v>719</v>
      </c>
      <c r="BB2" s="265" t="s">
        <v>721</v>
      </c>
      <c r="BC2" s="266"/>
      <c r="BD2" s="267"/>
      <c r="BF2" s="264" t="s">
        <v>719</v>
      </c>
      <c r="BG2" s="265" t="s">
        <v>721</v>
      </c>
      <c r="BH2" s="266"/>
      <c r="BI2" s="267"/>
      <c r="BJ2" s="268"/>
      <c r="BL2" s="264" t="s">
        <v>719</v>
      </c>
      <c r="BM2" s="265" t="s">
        <v>720</v>
      </c>
      <c r="BN2" s="266"/>
      <c r="BO2" s="267"/>
      <c r="BQ2" s="264" t="s">
        <v>719</v>
      </c>
      <c r="BR2" s="265" t="s">
        <v>720</v>
      </c>
      <c r="BS2" s="266"/>
      <c r="BT2" s="267"/>
      <c r="BV2" s="264" t="s">
        <v>719</v>
      </c>
      <c r="BW2" s="265" t="s">
        <v>720</v>
      </c>
      <c r="BX2" s="266"/>
      <c r="BY2" s="267"/>
      <c r="CA2" s="264" t="s">
        <v>719</v>
      </c>
      <c r="CB2" s="265" t="s">
        <v>720</v>
      </c>
      <c r="CC2" s="266"/>
      <c r="CD2" s="267"/>
      <c r="CF2" s="264" t="s">
        <v>719</v>
      </c>
      <c r="CG2" s="265" t="s">
        <v>720</v>
      </c>
      <c r="CH2" s="266"/>
      <c r="CI2" s="267"/>
      <c r="CK2" s="264" t="s">
        <v>719</v>
      </c>
      <c r="CL2" s="265" t="s">
        <v>720</v>
      </c>
      <c r="CM2" s="266"/>
      <c r="CN2" s="267"/>
      <c r="CP2" s="264" t="s">
        <v>719</v>
      </c>
      <c r="CQ2" s="1304" t="s">
        <v>722</v>
      </c>
      <c r="CR2" s="1305"/>
      <c r="CS2" s="1306"/>
      <c r="CU2" s="264" t="s">
        <v>719</v>
      </c>
      <c r="CV2" s="265" t="s">
        <v>720</v>
      </c>
      <c r="CW2" s="266"/>
      <c r="CX2" s="267"/>
      <c r="CZ2" s="264" t="s">
        <v>719</v>
      </c>
      <c r="DA2" s="265" t="s">
        <v>720</v>
      </c>
      <c r="DB2" s="266"/>
      <c r="DC2" s="267"/>
    </row>
    <row r="3" spans="1:107" ht="30" customHeight="1" thickBot="1" x14ac:dyDescent="0.2">
      <c r="A3" s="256" t="s">
        <v>723</v>
      </c>
      <c r="B3" s="449" t="s">
        <v>724</v>
      </c>
      <c r="C3" s="1299" t="str">
        <f>IF(INDEX($3:$3, F2) = "", "", INDEX($3:$3, F2))</f>
        <v/>
      </c>
      <c r="D3" s="1300"/>
      <c r="E3" s="1300"/>
      <c r="F3" s="1300"/>
      <c r="G3" s="1301"/>
      <c r="H3" s="989" t="s">
        <v>15</v>
      </c>
      <c r="I3" s="988" t="s">
        <v>16</v>
      </c>
      <c r="M3" s="269" t="s">
        <v>724</v>
      </c>
      <c r="N3" s="266"/>
      <c r="O3" s="266"/>
      <c r="P3" s="267"/>
      <c r="Q3" s="263"/>
      <c r="R3" s="269" t="s">
        <v>724</v>
      </c>
      <c r="S3" s="266"/>
      <c r="T3" s="266"/>
      <c r="U3" s="267"/>
      <c r="W3" s="269" t="s">
        <v>724</v>
      </c>
      <c r="X3" s="266"/>
      <c r="Y3" s="266"/>
      <c r="Z3" s="267"/>
      <c r="AA3" s="263"/>
      <c r="AB3" s="269" t="s">
        <v>724</v>
      </c>
      <c r="AC3" s="266"/>
      <c r="AD3" s="266"/>
      <c r="AE3" s="267"/>
      <c r="AF3"/>
      <c r="AG3" s="269" t="s">
        <v>724</v>
      </c>
      <c r="AH3" s="266"/>
      <c r="AI3" s="266"/>
      <c r="AJ3" s="267"/>
      <c r="AK3" s="263"/>
      <c r="AL3" s="269" t="s">
        <v>724</v>
      </c>
      <c r="AM3" s="266"/>
      <c r="AN3" s="266"/>
      <c r="AO3" s="267"/>
      <c r="AQ3" s="269" t="s">
        <v>724</v>
      </c>
      <c r="AR3" s="266"/>
      <c r="AS3" s="266"/>
      <c r="AT3" s="267"/>
      <c r="AU3" s="263"/>
      <c r="AV3" s="269" t="s">
        <v>724</v>
      </c>
      <c r="AW3" s="266"/>
      <c r="AX3" s="266"/>
      <c r="AY3" s="267"/>
      <c r="AZ3" s="268"/>
      <c r="BA3" s="269" t="s">
        <v>724</v>
      </c>
      <c r="BB3" s="266"/>
      <c r="BC3" s="266"/>
      <c r="BD3" s="267"/>
      <c r="BE3" s="263"/>
      <c r="BF3" s="269" t="s">
        <v>724</v>
      </c>
      <c r="BG3" s="266"/>
      <c r="BH3" s="266"/>
      <c r="BI3" s="267"/>
      <c r="BJ3" s="268"/>
      <c r="BL3" s="269" t="s">
        <v>724</v>
      </c>
      <c r="BM3" s="266"/>
      <c r="BN3" s="266"/>
      <c r="BO3" s="267"/>
      <c r="BP3" s="263"/>
      <c r="BQ3" s="269" t="s">
        <v>724</v>
      </c>
      <c r="BR3" s="266"/>
      <c r="BS3" s="266"/>
      <c r="BT3" s="267"/>
      <c r="BV3" s="269" t="s">
        <v>724</v>
      </c>
      <c r="BW3" s="266"/>
      <c r="BX3" s="266"/>
      <c r="BY3" s="267"/>
      <c r="BZ3" s="263"/>
      <c r="CA3" s="269" t="s">
        <v>724</v>
      </c>
      <c r="CB3" s="266"/>
      <c r="CC3" s="266"/>
      <c r="CD3" s="267"/>
      <c r="CF3" s="269" t="s">
        <v>724</v>
      </c>
      <c r="CG3" s="266"/>
      <c r="CH3" s="266"/>
      <c r="CI3" s="267"/>
      <c r="CJ3" s="263"/>
      <c r="CK3" s="269" t="s">
        <v>724</v>
      </c>
      <c r="CL3" s="266"/>
      <c r="CM3" s="266"/>
      <c r="CN3" s="267"/>
      <c r="CP3" s="269" t="s">
        <v>724</v>
      </c>
      <c r="CQ3" s="1307" t="s">
        <v>725</v>
      </c>
      <c r="CR3" s="1308"/>
      <c r="CS3" s="1309"/>
      <c r="CU3" s="269" t="s">
        <v>724</v>
      </c>
      <c r="CV3" s="266"/>
      <c r="CW3" s="266"/>
      <c r="CX3" s="267"/>
      <c r="CZ3" s="269" t="s">
        <v>724</v>
      </c>
      <c r="DA3" s="266"/>
      <c r="DB3" s="266"/>
      <c r="DC3" s="267"/>
    </row>
    <row r="4" spans="1:107" ht="31" thickBot="1" x14ac:dyDescent="0.2">
      <c r="A4" s="1011" t="s">
        <v>726</v>
      </c>
      <c r="B4" s="450" t="s">
        <v>727</v>
      </c>
      <c r="C4" s="451" t="s">
        <v>728</v>
      </c>
      <c r="D4" s="451" t="s">
        <v>721</v>
      </c>
      <c r="E4" s="451" t="s">
        <v>729</v>
      </c>
      <c r="F4" s="451" t="s">
        <v>33</v>
      </c>
      <c r="G4" s="451" t="s">
        <v>719</v>
      </c>
      <c r="H4" s="986" t="s">
        <v>17</v>
      </c>
      <c r="I4" s="988" t="s">
        <v>18</v>
      </c>
      <c r="M4" s="738" t="s">
        <v>727</v>
      </c>
      <c r="N4" s="739" t="s">
        <v>730</v>
      </c>
      <c r="O4" s="1302" t="s">
        <v>719</v>
      </c>
      <c r="P4" s="1303"/>
      <c r="Q4" s="271"/>
      <c r="R4" s="738" t="s">
        <v>727</v>
      </c>
      <c r="S4" s="739" t="s">
        <v>730</v>
      </c>
      <c r="T4" s="1302" t="s">
        <v>719</v>
      </c>
      <c r="U4" s="1303"/>
      <c r="W4" s="738" t="s">
        <v>727</v>
      </c>
      <c r="X4" s="739" t="s">
        <v>730</v>
      </c>
      <c r="Y4" s="1302" t="s">
        <v>719</v>
      </c>
      <c r="Z4" s="1303"/>
      <c r="AB4" s="738" t="s">
        <v>727</v>
      </c>
      <c r="AC4" s="739" t="s">
        <v>730</v>
      </c>
      <c r="AD4" s="1302" t="s">
        <v>719</v>
      </c>
      <c r="AE4" s="1303"/>
      <c r="AF4" s="271"/>
      <c r="AG4" s="738" t="s">
        <v>727</v>
      </c>
      <c r="AH4" s="739" t="s">
        <v>730</v>
      </c>
      <c r="AI4" s="1302" t="s">
        <v>719</v>
      </c>
      <c r="AJ4" s="1303"/>
      <c r="AL4" s="738" t="s">
        <v>727</v>
      </c>
      <c r="AM4" s="739" t="s">
        <v>730</v>
      </c>
      <c r="AN4" s="1302" t="s">
        <v>719</v>
      </c>
      <c r="AO4" s="1303"/>
      <c r="AQ4" s="738" t="s">
        <v>727</v>
      </c>
      <c r="AR4" s="739" t="s">
        <v>730</v>
      </c>
      <c r="AS4" s="1302" t="s">
        <v>719</v>
      </c>
      <c r="AT4" s="1303"/>
      <c r="AV4" s="738" t="s">
        <v>727</v>
      </c>
      <c r="AW4" s="739" t="s">
        <v>730</v>
      </c>
      <c r="AX4" s="1302" t="s">
        <v>719</v>
      </c>
      <c r="AY4" s="1303"/>
      <c r="AZ4" s="271"/>
      <c r="BA4" s="738" t="s">
        <v>727</v>
      </c>
      <c r="BB4" s="739" t="s">
        <v>730</v>
      </c>
      <c r="BC4" s="1302" t="s">
        <v>719</v>
      </c>
      <c r="BD4" s="1303"/>
      <c r="BF4" s="738" t="s">
        <v>727</v>
      </c>
      <c r="BG4" s="739" t="s">
        <v>730</v>
      </c>
      <c r="BH4" s="1302" t="s">
        <v>719</v>
      </c>
      <c r="BI4" s="1303"/>
      <c r="BJ4" s="271"/>
      <c r="BL4" s="738" t="s">
        <v>727</v>
      </c>
      <c r="BM4" s="739" t="s">
        <v>730</v>
      </c>
      <c r="BN4" s="1302" t="s">
        <v>719</v>
      </c>
      <c r="BO4" s="1303"/>
      <c r="BQ4" s="738" t="s">
        <v>727</v>
      </c>
      <c r="BR4" s="739" t="s">
        <v>730</v>
      </c>
      <c r="BS4" s="1302" t="s">
        <v>719</v>
      </c>
      <c r="BT4" s="1303"/>
      <c r="BV4" s="738" t="s">
        <v>727</v>
      </c>
      <c r="BW4" s="739" t="s">
        <v>730</v>
      </c>
      <c r="BX4" s="1302" t="s">
        <v>719</v>
      </c>
      <c r="BY4" s="1303"/>
      <c r="CA4" s="738" t="s">
        <v>727</v>
      </c>
      <c r="CB4" s="739" t="s">
        <v>730</v>
      </c>
      <c r="CC4" s="1302" t="s">
        <v>719</v>
      </c>
      <c r="CD4" s="1303"/>
      <c r="CF4" s="738" t="s">
        <v>727</v>
      </c>
      <c r="CG4" s="739" t="s">
        <v>730</v>
      </c>
      <c r="CH4" s="1302" t="s">
        <v>719</v>
      </c>
      <c r="CI4" s="1303"/>
      <c r="CK4" s="738" t="s">
        <v>727</v>
      </c>
      <c r="CL4" s="739" t="s">
        <v>730</v>
      </c>
      <c r="CM4" s="1302" t="s">
        <v>719</v>
      </c>
      <c r="CN4" s="1303"/>
      <c r="CP4" s="738" t="s">
        <v>727</v>
      </c>
      <c r="CQ4" s="739" t="s">
        <v>730</v>
      </c>
      <c r="CR4" s="1302" t="s">
        <v>719</v>
      </c>
      <c r="CS4" s="1303"/>
      <c r="CU4" s="738" t="s">
        <v>727</v>
      </c>
      <c r="CV4" s="739" t="s">
        <v>730</v>
      </c>
      <c r="CW4" s="1302" t="s">
        <v>719</v>
      </c>
      <c r="CX4" s="1303"/>
      <c r="CZ4" s="738" t="s">
        <v>727</v>
      </c>
      <c r="DA4" s="739" t="s">
        <v>730</v>
      </c>
      <c r="DB4" s="1302" t="s">
        <v>719</v>
      </c>
      <c r="DC4" s="1303"/>
    </row>
    <row r="5" spans="1:107" ht="23.25" customHeight="1" thickBot="1" x14ac:dyDescent="0.25">
      <c r="A5" s="272" t="s">
        <v>352</v>
      </c>
      <c r="B5" s="452" t="s">
        <v>731</v>
      </c>
      <c r="C5" s="453" t="str">
        <f>IFERROR(IF(F5="",INDEX(_chem_formulas, MATCH(C7,_materials,0))&amp;" / "&amp;INDEX(_chem_formulas,MATCH(C36,_materials,0)),F5),C7&amp;" - "&amp;C36)</f>
        <v>Li(Ni0.5Mn0.3Co0.2)O2 / Graphite</v>
      </c>
      <c r="D5" s="454"/>
      <c r="E5" s="454"/>
      <c r="F5" s="455"/>
      <c r="G5" s="456"/>
      <c r="H5" s="986" t="s">
        <v>20</v>
      </c>
      <c r="I5" s="992" t="s">
        <v>21</v>
      </c>
      <c r="J5" s="274"/>
      <c r="M5" s="279"/>
      <c r="N5" s="603"/>
      <c r="O5" s="603"/>
      <c r="P5" s="280"/>
      <c r="R5" s="279"/>
      <c r="S5" s="603"/>
      <c r="T5" s="603"/>
      <c r="U5" s="280"/>
      <c r="W5" s="279"/>
      <c r="X5" s="603"/>
      <c r="Y5" s="603"/>
      <c r="Z5" s="280"/>
      <c r="AA5" s="258"/>
      <c r="AB5" s="279"/>
      <c r="AC5" s="603"/>
      <c r="AD5" s="603"/>
      <c r="AE5" s="280"/>
      <c r="AG5" s="279"/>
      <c r="AH5" s="603"/>
      <c r="AI5" s="603"/>
      <c r="AJ5" s="280"/>
      <c r="AL5" s="279"/>
      <c r="AM5" s="603"/>
      <c r="AN5" s="603"/>
      <c r="AO5" s="280"/>
      <c r="AQ5" s="279"/>
      <c r="AR5" s="603"/>
      <c r="AS5" s="603"/>
      <c r="AT5" s="280"/>
      <c r="AV5" s="279"/>
      <c r="AW5" s="603"/>
      <c r="AX5" s="603"/>
      <c r="AY5" s="280"/>
      <c r="BA5" s="279"/>
      <c r="BB5" s="603"/>
      <c r="BC5" s="603"/>
      <c r="BD5" s="280"/>
      <c r="BF5" s="279"/>
      <c r="BG5" s="603"/>
      <c r="BH5" s="603"/>
      <c r="BI5" s="280"/>
      <c r="BL5" s="279"/>
      <c r="BM5" s="603"/>
      <c r="BN5" s="603"/>
      <c r="BO5" s="280"/>
      <c r="BQ5" s="279"/>
      <c r="BR5" s="603"/>
      <c r="BS5" s="603"/>
      <c r="BT5" s="280"/>
      <c r="BV5" s="279"/>
      <c r="BW5" s="603"/>
      <c r="BX5" s="603"/>
      <c r="BY5" s="280"/>
      <c r="CA5" s="279"/>
      <c r="CB5" s="603"/>
      <c r="CC5" s="603"/>
      <c r="CD5" s="280"/>
      <c r="CF5" s="279"/>
      <c r="CG5" s="603"/>
      <c r="CH5" s="603"/>
      <c r="CI5" s="280"/>
      <c r="CK5" s="279"/>
      <c r="CL5" s="603"/>
      <c r="CM5" s="603"/>
      <c r="CN5" s="280"/>
      <c r="CP5" s="279"/>
      <c r="CQ5" s="603"/>
      <c r="CR5" s="603"/>
      <c r="CS5" s="280"/>
      <c r="CU5" s="279"/>
      <c r="CV5" s="603"/>
      <c r="CW5" s="603"/>
      <c r="CX5" s="280"/>
      <c r="CZ5" s="279"/>
      <c r="DA5" s="603"/>
      <c r="DB5" s="603"/>
      <c r="DC5" s="280"/>
    </row>
    <row r="6" spans="1:107" ht="19" thickBot="1" x14ac:dyDescent="0.25">
      <c r="A6" s="272"/>
      <c r="B6" s="440" t="s">
        <v>732</v>
      </c>
      <c r="C6" s="438"/>
      <c r="D6" s="438"/>
      <c r="E6" s="438"/>
      <c r="F6" s="1127"/>
      <c r="G6" s="439"/>
      <c r="H6" s="990" t="s">
        <v>25</v>
      </c>
      <c r="I6" s="991" t="s">
        <v>26</v>
      </c>
      <c r="J6" s="274"/>
      <c r="M6" s="305" t="s">
        <v>316</v>
      </c>
      <c r="N6" s="258"/>
      <c r="O6" s="258"/>
      <c r="P6" s="276"/>
      <c r="R6" s="305" t="s">
        <v>316</v>
      </c>
      <c r="S6" s="258"/>
      <c r="T6" s="258"/>
      <c r="U6" s="276"/>
      <c r="W6" s="305" t="s">
        <v>316</v>
      </c>
      <c r="Z6" s="276"/>
      <c r="AB6" s="305" t="s">
        <v>316</v>
      </c>
      <c r="AE6" s="276"/>
      <c r="AG6" s="305" t="s">
        <v>316</v>
      </c>
      <c r="AJ6" s="276"/>
      <c r="AL6" s="305" t="s">
        <v>316</v>
      </c>
      <c r="AO6" s="276"/>
      <c r="AQ6" s="305" t="s">
        <v>316</v>
      </c>
      <c r="AT6" s="276"/>
      <c r="AV6" s="305" t="s">
        <v>316</v>
      </c>
      <c r="AY6" s="276"/>
      <c r="BA6" s="305" t="s">
        <v>316</v>
      </c>
      <c r="BD6" s="276"/>
      <c r="BF6" s="305" t="s">
        <v>316</v>
      </c>
      <c r="BI6" s="276"/>
      <c r="BL6" s="305" t="s">
        <v>316</v>
      </c>
      <c r="BO6" s="276"/>
      <c r="BQ6" s="305" t="s">
        <v>316</v>
      </c>
      <c r="BT6" s="276"/>
      <c r="BV6" s="305" t="s">
        <v>316</v>
      </c>
      <c r="BY6" s="276"/>
      <c r="CA6" s="305" t="s">
        <v>316</v>
      </c>
      <c r="CD6" s="276"/>
      <c r="CF6" s="305" t="s">
        <v>316</v>
      </c>
      <c r="CI6" s="276"/>
      <c r="CK6" s="305" t="s">
        <v>316</v>
      </c>
      <c r="CN6" s="276"/>
      <c r="CP6" s="305" t="s">
        <v>316</v>
      </c>
      <c r="CR6" s="733" t="s">
        <v>733</v>
      </c>
      <c r="CS6" s="280"/>
      <c r="CU6" s="305" t="s">
        <v>316</v>
      </c>
      <c r="CX6" s="276"/>
      <c r="CZ6" s="305" t="s">
        <v>316</v>
      </c>
      <c r="DC6" s="276"/>
    </row>
    <row r="7" spans="1:107" ht="18" customHeight="1" x14ac:dyDescent="0.2">
      <c r="A7" s="272"/>
      <c r="B7" s="591" t="s">
        <v>734</v>
      </c>
      <c r="C7" s="1129" t="str">
        <f>IF(AND(D7="",F7=""),"",IF(F7="",D7,F7))</f>
        <v>NMC532</v>
      </c>
      <c r="D7" s="564" t="str" cm="1">
        <f t="array" ref="D7">IF(INDEX(7:7,$F$2)="","", INDEX(7:7, $F$2))</f>
        <v>NMC532</v>
      </c>
      <c r="E7" s="564"/>
      <c r="F7" s="1128"/>
      <c r="G7" s="277"/>
      <c r="H7" s="73"/>
      <c r="M7" s="275" t="s">
        <v>735</v>
      </c>
      <c r="N7" s="299" t="s">
        <v>736</v>
      </c>
      <c r="O7" s="278"/>
      <c r="P7" s="282"/>
      <c r="Q7" s="278"/>
      <c r="R7" s="275" t="s">
        <v>735</v>
      </c>
      <c r="S7" s="299" t="s">
        <v>736</v>
      </c>
      <c r="T7" s="278"/>
      <c r="U7" s="282"/>
      <c r="W7" s="275" t="s">
        <v>735</v>
      </c>
      <c r="X7" s="299" t="s">
        <v>737</v>
      </c>
      <c r="Y7" s="278"/>
      <c r="Z7" s="282"/>
      <c r="AB7" s="275" t="s">
        <v>735</v>
      </c>
      <c r="AC7" s="299" t="s">
        <v>737</v>
      </c>
      <c r="AD7" s="278"/>
      <c r="AE7" s="282"/>
      <c r="AF7" s="278"/>
      <c r="AG7" s="275" t="s">
        <v>735</v>
      </c>
      <c r="AH7" s="299" t="s">
        <v>738</v>
      </c>
      <c r="AI7" s="278"/>
      <c r="AJ7" s="282"/>
      <c r="AL7" s="275" t="s">
        <v>735</v>
      </c>
      <c r="AM7" s="299" t="s">
        <v>738</v>
      </c>
      <c r="AN7" s="278"/>
      <c r="AO7" s="282"/>
      <c r="AQ7" s="275" t="s">
        <v>735</v>
      </c>
      <c r="AR7" s="299" t="s">
        <v>739</v>
      </c>
      <c r="AS7" s="278"/>
      <c r="AT7" s="282"/>
      <c r="AV7" s="275" t="s">
        <v>735</v>
      </c>
      <c r="AW7" s="299" t="s">
        <v>739</v>
      </c>
      <c r="AX7" s="278"/>
      <c r="AY7" s="282"/>
      <c r="AZ7" s="278"/>
      <c r="BA7" s="275" t="s">
        <v>735</v>
      </c>
      <c r="BB7" s="299" t="s">
        <v>740</v>
      </c>
      <c r="BC7" s="278"/>
      <c r="BD7" s="282"/>
      <c r="BF7" s="275" t="s">
        <v>735</v>
      </c>
      <c r="BG7" s="299" t="s">
        <v>740</v>
      </c>
      <c r="BH7" s="278"/>
      <c r="BI7" s="282"/>
      <c r="BJ7" s="278"/>
      <c r="BL7" s="275" t="s">
        <v>735</v>
      </c>
      <c r="BM7" s="299" t="s">
        <v>741</v>
      </c>
      <c r="BN7" s="278"/>
      <c r="BO7" s="282"/>
      <c r="BQ7" s="275" t="s">
        <v>735</v>
      </c>
      <c r="BR7" s="299" t="s">
        <v>741</v>
      </c>
      <c r="BS7" s="278"/>
      <c r="BT7" s="282"/>
      <c r="BV7" s="275" t="s">
        <v>735</v>
      </c>
      <c r="BW7" s="299" t="s">
        <v>742</v>
      </c>
      <c r="BX7" s="278"/>
      <c r="BY7" s="282"/>
      <c r="CA7" s="275" t="s">
        <v>735</v>
      </c>
      <c r="CB7" s="299" t="s">
        <v>742</v>
      </c>
      <c r="CC7" s="278"/>
      <c r="CD7" s="282"/>
      <c r="CF7" s="275" t="s">
        <v>735</v>
      </c>
      <c r="CG7" s="299" t="s">
        <v>743</v>
      </c>
      <c r="CH7" s="278"/>
      <c r="CI7" s="282"/>
      <c r="CK7" s="275" t="s">
        <v>735</v>
      </c>
      <c r="CL7" s="299" t="s">
        <v>743</v>
      </c>
      <c r="CM7" s="278"/>
      <c r="CN7" s="282"/>
      <c r="CP7" s="275" t="s">
        <v>735</v>
      </c>
      <c r="CQ7" s="299" t="str">
        <f>100*CS8 &amp; "%/" &amp; (1-CS8)*100 &amp; "% " &amp; LEFT(CS7,FIND("-",CS7)-1)&amp;"/" &amp; LEFT(CS9,FIND("-",CS9)-1)</f>
        <v>50%/50% NMC532/LMO</v>
      </c>
      <c r="CR7" s="275" t="s">
        <v>744</v>
      </c>
      <c r="CS7" s="734" t="s">
        <v>703</v>
      </c>
      <c r="CU7" s="275" t="s">
        <v>735</v>
      </c>
      <c r="CV7" s="299" t="s">
        <v>743</v>
      </c>
      <c r="CW7" s="278"/>
      <c r="CX7" s="282"/>
      <c r="CZ7" s="275" t="s">
        <v>735</v>
      </c>
      <c r="DA7" s="299" t="s">
        <v>743</v>
      </c>
      <c r="DB7" s="278"/>
      <c r="DC7" s="282"/>
    </row>
    <row r="8" spans="1:107" x14ac:dyDescent="0.15">
      <c r="A8" s="272"/>
      <c r="B8" s="566" t="s">
        <v>745</v>
      </c>
      <c r="C8" s="1130">
        <f>IF(SUM(C11:C13) = 100, IF(NOT(Dashboard!E15 = ""), Dashboard!E15,  IF(AND(D8="",F8=""),"",IF(F8="",D8+E8,F8))), NA())</f>
        <v>187.1</v>
      </c>
      <c r="D8" s="564">
        <f>IF(INDEX(8:8,$F$2)="","", INDEX(8:8, $F$2))</f>
        <v>187.1</v>
      </c>
      <c r="E8" s="1106"/>
      <c r="F8" s="727"/>
      <c r="G8" s="277"/>
      <c r="H8" s="73"/>
      <c r="M8" s="275" t="s">
        <v>746</v>
      </c>
      <c r="N8" s="284">
        <v>171.3</v>
      </c>
      <c r="O8" s="278"/>
      <c r="P8" s="282"/>
      <c r="Q8" s="278"/>
      <c r="R8" s="275" t="s">
        <v>746</v>
      </c>
      <c r="S8" s="284">
        <v>171.3</v>
      </c>
      <c r="T8" s="278"/>
      <c r="U8" s="282"/>
      <c r="W8" s="275" t="s">
        <v>746</v>
      </c>
      <c r="X8" s="284">
        <v>187.1</v>
      </c>
      <c r="Y8" s="278"/>
      <c r="Z8" s="282"/>
      <c r="AB8" s="275" t="s">
        <v>746</v>
      </c>
      <c r="AC8" s="284">
        <v>187.1</v>
      </c>
      <c r="AD8" s="278"/>
      <c r="AE8" s="282"/>
      <c r="AF8" s="278"/>
      <c r="AG8" s="275" t="s">
        <v>746</v>
      </c>
      <c r="AH8" s="284">
        <v>190.9</v>
      </c>
      <c r="AI8" s="278"/>
      <c r="AJ8" s="282"/>
      <c r="AL8" s="275" t="s">
        <v>746</v>
      </c>
      <c r="AM8" s="284">
        <v>190.9</v>
      </c>
      <c r="AN8" s="278"/>
      <c r="AO8" s="282"/>
      <c r="AQ8" s="275" t="s">
        <v>746</v>
      </c>
      <c r="AR8" s="284">
        <v>213.6</v>
      </c>
      <c r="AS8" s="278"/>
      <c r="AT8" s="282"/>
      <c r="AV8" s="275" t="s">
        <v>746</v>
      </c>
      <c r="AW8" s="284">
        <v>213.6</v>
      </c>
      <c r="AX8" s="278"/>
      <c r="AY8" s="282"/>
      <c r="AZ8" s="278"/>
      <c r="BA8" s="275" t="s">
        <v>746</v>
      </c>
      <c r="BB8" s="284">
        <v>230</v>
      </c>
      <c r="BC8" s="278"/>
      <c r="BD8" s="282"/>
      <c r="BF8" s="275" t="s">
        <v>746</v>
      </c>
      <c r="BG8" s="284">
        <v>230</v>
      </c>
      <c r="BH8" s="278"/>
      <c r="BI8" s="282"/>
      <c r="BJ8" s="278"/>
      <c r="BL8" s="275" t="s">
        <v>746</v>
      </c>
      <c r="BM8" s="284">
        <v>202</v>
      </c>
      <c r="BN8" s="278"/>
      <c r="BO8" s="282"/>
      <c r="BQ8" s="275" t="s">
        <v>746</v>
      </c>
      <c r="BR8" s="284">
        <v>202</v>
      </c>
      <c r="BS8" s="278"/>
      <c r="BT8" s="282"/>
      <c r="BV8" s="275" t="s">
        <v>746</v>
      </c>
      <c r="BW8" s="284">
        <v>156.69999999999999</v>
      </c>
      <c r="BX8" s="278"/>
      <c r="BY8" s="282"/>
      <c r="CA8" s="275" t="s">
        <v>746</v>
      </c>
      <c r="CB8" s="284">
        <v>156.69999999999999</v>
      </c>
      <c r="CC8" s="278"/>
      <c r="CD8" s="282"/>
      <c r="CF8" s="275" t="s">
        <v>746</v>
      </c>
      <c r="CG8" s="284">
        <v>118.6</v>
      </c>
      <c r="CH8" s="278"/>
      <c r="CI8" s="282"/>
      <c r="CK8" s="275" t="s">
        <v>746</v>
      </c>
      <c r="CL8" s="284">
        <v>118.6</v>
      </c>
      <c r="CM8" s="278"/>
      <c r="CN8" s="282"/>
      <c r="CP8" s="275" t="s">
        <v>746</v>
      </c>
      <c r="CQ8" s="284" cm="1">
        <f t="array" ref="CQ8">INDEX(8:8, $CS$10)*$CS$8 + INDEX(8:8, $CS$11)*(1-$CS$8)</f>
        <v>152.85</v>
      </c>
      <c r="CR8" s="283" t="s">
        <v>747</v>
      </c>
      <c r="CS8" s="734">
        <v>0.5</v>
      </c>
      <c r="CU8" s="275" t="s">
        <v>746</v>
      </c>
      <c r="CV8" s="284">
        <v>118.6</v>
      </c>
      <c r="CW8" s="278"/>
      <c r="CX8" s="282"/>
      <c r="CZ8" s="275" t="s">
        <v>746</v>
      </c>
      <c r="DA8" s="284">
        <v>118.6</v>
      </c>
      <c r="DB8" s="278"/>
      <c r="DC8" s="282"/>
    </row>
    <row r="9" spans="1:107" ht="15" thickBot="1" x14ac:dyDescent="0.2">
      <c r="A9" s="272"/>
      <c r="B9" s="566"/>
      <c r="C9" s="563"/>
      <c r="D9" s="564"/>
      <c r="E9" s="564"/>
      <c r="F9" s="565"/>
      <c r="G9" s="277"/>
      <c r="H9" s="73"/>
      <c r="M9" s="275"/>
      <c r="N9" s="284"/>
      <c r="O9" s="278"/>
      <c r="P9" s="282"/>
      <c r="Q9" s="278"/>
      <c r="R9" s="275"/>
      <c r="S9" s="284"/>
      <c r="T9" s="278"/>
      <c r="U9" s="282"/>
      <c r="W9" s="275"/>
      <c r="X9" s="284"/>
      <c r="Y9" s="278"/>
      <c r="Z9" s="282"/>
      <c r="AB9" s="275"/>
      <c r="AC9" s="284"/>
      <c r="AD9" s="278"/>
      <c r="AE9" s="282"/>
      <c r="AF9" s="278"/>
      <c r="AG9" s="275"/>
      <c r="AH9" s="284"/>
      <c r="AI9" s="278"/>
      <c r="AJ9" s="282"/>
      <c r="AL9" s="275"/>
      <c r="AM9" s="284"/>
      <c r="AN9" s="278"/>
      <c r="AO9" s="282"/>
      <c r="AQ9" s="275"/>
      <c r="AR9" s="284"/>
      <c r="AS9" s="278"/>
      <c r="AT9" s="282"/>
      <c r="AV9" s="275"/>
      <c r="AW9" s="284"/>
      <c r="AX9" s="278"/>
      <c r="AY9" s="282"/>
      <c r="AZ9" s="278"/>
      <c r="BA9" s="275"/>
      <c r="BB9" s="284"/>
      <c r="BC9" s="278"/>
      <c r="BD9" s="282"/>
      <c r="BF9" s="275"/>
      <c r="BG9" s="284"/>
      <c r="BH9" s="278"/>
      <c r="BI9" s="282"/>
      <c r="BJ9" s="278"/>
      <c r="BL9" s="275"/>
      <c r="BM9" s="284"/>
      <c r="BN9" s="278"/>
      <c r="BO9" s="282"/>
      <c r="BQ9" s="275"/>
      <c r="BR9" s="284"/>
      <c r="BS9" s="278"/>
      <c r="BT9" s="282"/>
      <c r="BV9" s="275"/>
      <c r="BW9" s="284"/>
      <c r="BX9" s="278"/>
      <c r="BY9" s="282"/>
      <c r="CA9" s="275"/>
      <c r="CB9" s="284"/>
      <c r="CC9" s="278"/>
      <c r="CD9" s="282"/>
      <c r="CF9" s="275"/>
      <c r="CG9" s="284"/>
      <c r="CH9" s="278"/>
      <c r="CI9" s="282"/>
      <c r="CK9" s="275"/>
      <c r="CL9" s="284"/>
      <c r="CM9" s="278"/>
      <c r="CN9" s="282"/>
      <c r="CP9" s="275"/>
      <c r="CQ9" s="284"/>
      <c r="CR9" s="287" t="s">
        <v>748</v>
      </c>
      <c r="CS9" s="735" t="s">
        <v>714</v>
      </c>
      <c r="CU9" s="275"/>
      <c r="CV9" s="284"/>
      <c r="CW9" s="278"/>
      <c r="CX9" s="282"/>
      <c r="CZ9" s="275"/>
      <c r="DA9" s="284"/>
      <c r="DB9" s="278"/>
      <c r="DC9" s="282"/>
    </row>
    <row r="10" spans="1:107" ht="16" x14ac:dyDescent="0.2">
      <c r="A10" s="272"/>
      <c r="B10" s="591" t="s">
        <v>749</v>
      </c>
      <c r="C10" s="563"/>
      <c r="D10" s="563" t="str">
        <f>IF(ISERROR(C8)," Sum of % must add to 100", "")</f>
        <v/>
      </c>
      <c r="E10" s="563"/>
      <c r="F10" s="565"/>
      <c r="G10" s="277"/>
      <c r="H10" s="73"/>
      <c r="M10" s="285" t="s">
        <v>750</v>
      </c>
      <c r="N10" s="286"/>
      <c r="O10" s="278"/>
      <c r="P10" s="282"/>
      <c r="Q10" s="278"/>
      <c r="R10" s="285" t="s">
        <v>750</v>
      </c>
      <c r="S10" s="286"/>
      <c r="T10" s="278"/>
      <c r="U10" s="282"/>
      <c r="W10" s="285" t="s">
        <v>750</v>
      </c>
      <c r="X10" s="286"/>
      <c r="Y10" s="278"/>
      <c r="Z10" s="282"/>
      <c r="AB10" s="285" t="s">
        <v>750</v>
      </c>
      <c r="AC10" s="286"/>
      <c r="AD10" s="278"/>
      <c r="AE10" s="282"/>
      <c r="AF10" s="278"/>
      <c r="AG10" s="285" t="s">
        <v>750</v>
      </c>
      <c r="AH10" s="286"/>
      <c r="AI10" s="278"/>
      <c r="AJ10" s="282"/>
      <c r="AL10" s="285" t="s">
        <v>750</v>
      </c>
      <c r="AM10" s="286"/>
      <c r="AN10" s="278"/>
      <c r="AO10" s="282"/>
      <c r="AQ10" s="285" t="s">
        <v>750</v>
      </c>
      <c r="AR10" s="286"/>
      <c r="AS10" s="278"/>
      <c r="AT10" s="282"/>
      <c r="AV10" s="285" t="s">
        <v>750</v>
      </c>
      <c r="AW10" s="286"/>
      <c r="AX10" s="278"/>
      <c r="AY10" s="282"/>
      <c r="AZ10" s="278"/>
      <c r="BA10" s="285" t="s">
        <v>750</v>
      </c>
      <c r="BB10" s="286"/>
      <c r="BC10" s="278"/>
      <c r="BD10" s="282"/>
      <c r="BF10" s="285" t="s">
        <v>750</v>
      </c>
      <c r="BG10" s="286"/>
      <c r="BH10" s="278"/>
      <c r="BI10" s="282"/>
      <c r="BJ10" s="278"/>
      <c r="BL10" s="285" t="s">
        <v>750</v>
      </c>
      <c r="BM10" s="286"/>
      <c r="BN10" s="278"/>
      <c r="BO10" s="282"/>
      <c r="BQ10" s="285" t="s">
        <v>750</v>
      </c>
      <c r="BR10" s="286"/>
      <c r="BS10" s="278"/>
      <c r="BT10" s="282"/>
      <c r="BV10" s="285" t="s">
        <v>750</v>
      </c>
      <c r="BW10" s="286"/>
      <c r="BX10" s="278"/>
      <c r="BY10" s="282"/>
      <c r="CA10" s="285" t="s">
        <v>750</v>
      </c>
      <c r="CB10" s="286"/>
      <c r="CC10" s="278"/>
      <c r="CD10" s="282"/>
      <c r="CF10" s="285" t="s">
        <v>750</v>
      </c>
      <c r="CG10" s="286"/>
      <c r="CH10" s="278"/>
      <c r="CI10" s="282"/>
      <c r="CK10" s="285" t="s">
        <v>750</v>
      </c>
      <c r="CL10" s="286"/>
      <c r="CM10" s="278"/>
      <c r="CN10" s="282"/>
      <c r="CP10" s="285" t="s">
        <v>750</v>
      </c>
      <c r="CQ10" s="286"/>
      <c r="CR10" s="279" t="s">
        <v>751</v>
      </c>
      <c r="CS10" s="824">
        <f>INDEX(Lists!$C$6:$C$60, MATCH(CS7, _chem_couples, 0))</f>
        <v>29</v>
      </c>
      <c r="CU10" s="285" t="s">
        <v>750</v>
      </c>
      <c r="CV10" s="286"/>
      <c r="CW10" s="278"/>
      <c r="CX10" s="282"/>
      <c r="CZ10" s="285" t="s">
        <v>750</v>
      </c>
      <c r="DA10" s="286"/>
      <c r="DB10" s="278"/>
      <c r="DC10" s="282"/>
    </row>
    <row r="11" spans="1:107" ht="15" thickBot="1" x14ac:dyDescent="0.2">
      <c r="A11" s="272" t="s">
        <v>352</v>
      </c>
      <c r="B11" s="567" t="s">
        <v>752</v>
      </c>
      <c r="C11" s="1132">
        <f>IF(AND(D11="",F11=""),"",IF(F11="",D11+E11,F11))</f>
        <v>94</v>
      </c>
      <c r="D11" s="568">
        <f>IF(INDEX(11:11,$F$2)="","", INDEX(11:11, $F$2))</f>
        <v>94</v>
      </c>
      <c r="E11" s="1107"/>
      <c r="F11" s="565"/>
      <c r="G11" s="288"/>
      <c r="H11" s="73"/>
      <c r="M11" s="289" t="s">
        <v>753</v>
      </c>
      <c r="N11" s="284">
        <v>94</v>
      </c>
      <c r="O11" s="278"/>
      <c r="P11" s="290"/>
      <c r="Q11" s="291"/>
      <c r="R11" s="289" t="s">
        <v>753</v>
      </c>
      <c r="S11" s="284">
        <v>96</v>
      </c>
      <c r="T11" s="278"/>
      <c r="U11" s="290"/>
      <c r="W11" s="289" t="s">
        <v>753</v>
      </c>
      <c r="X11" s="284">
        <v>94</v>
      </c>
      <c r="Y11" s="278"/>
      <c r="Z11" s="290"/>
      <c r="AB11" s="289" t="s">
        <v>753</v>
      </c>
      <c r="AC11" s="284">
        <v>96</v>
      </c>
      <c r="AD11" s="278"/>
      <c r="AE11" s="290"/>
      <c r="AF11" s="291"/>
      <c r="AG11" s="289" t="s">
        <v>753</v>
      </c>
      <c r="AH11" s="284">
        <v>94</v>
      </c>
      <c r="AI11" s="278"/>
      <c r="AJ11" s="290"/>
      <c r="AL11" s="289" t="s">
        <v>753</v>
      </c>
      <c r="AM11" s="284">
        <v>96</v>
      </c>
      <c r="AN11" s="278"/>
      <c r="AO11" s="290"/>
      <c r="AQ11" s="289" t="s">
        <v>753</v>
      </c>
      <c r="AR11" s="284">
        <v>94</v>
      </c>
      <c r="AS11" s="278"/>
      <c r="AT11" s="290"/>
      <c r="AV11" s="289" t="s">
        <v>753</v>
      </c>
      <c r="AW11" s="284">
        <v>96</v>
      </c>
      <c r="AX11" s="278"/>
      <c r="AY11" s="290"/>
      <c r="AZ11" s="291"/>
      <c r="BA11" s="289" t="s">
        <v>753</v>
      </c>
      <c r="BB11" s="284">
        <v>94</v>
      </c>
      <c r="BC11" s="278"/>
      <c r="BD11" s="290"/>
      <c r="BF11" s="289" t="s">
        <v>753</v>
      </c>
      <c r="BG11" s="284">
        <v>96</v>
      </c>
      <c r="BH11" s="278"/>
      <c r="BI11" s="290"/>
      <c r="BJ11" s="291"/>
      <c r="BL11" s="289" t="s">
        <v>753</v>
      </c>
      <c r="BM11" s="284">
        <v>94</v>
      </c>
      <c r="BN11" s="278"/>
      <c r="BO11" s="290"/>
      <c r="BQ11" s="289" t="s">
        <v>753</v>
      </c>
      <c r="BR11" s="284">
        <v>96</v>
      </c>
      <c r="BS11" s="278"/>
      <c r="BT11" s="290"/>
      <c r="BV11" s="289" t="s">
        <v>753</v>
      </c>
      <c r="BW11" s="284">
        <v>94</v>
      </c>
      <c r="BX11" s="278"/>
      <c r="BY11" s="290"/>
      <c r="CA11" s="289" t="s">
        <v>753</v>
      </c>
      <c r="CB11" s="284">
        <v>96</v>
      </c>
      <c r="CC11" s="278"/>
      <c r="CD11" s="290"/>
      <c r="CF11" s="289" t="s">
        <v>753</v>
      </c>
      <c r="CG11" s="284">
        <v>94</v>
      </c>
      <c r="CH11" s="278"/>
      <c r="CI11" s="290"/>
      <c r="CK11" s="289" t="s">
        <v>753</v>
      </c>
      <c r="CL11" s="284">
        <v>96</v>
      </c>
      <c r="CM11" s="278"/>
      <c r="CN11" s="290"/>
      <c r="CP11" s="289" t="s">
        <v>753</v>
      </c>
      <c r="CQ11" s="284" cm="1">
        <f t="array" ref="CQ11">INDEX(11:11, $CS$10)*$CS$8 + INDEX(11:11, $CS$11)*(1-$CS$8)</f>
        <v>96</v>
      </c>
      <c r="CR11" s="287" t="s">
        <v>754</v>
      </c>
      <c r="CS11" s="825">
        <f>INDEX(Lists!$C$6:$C$60, MATCH(CS9, _chem_couples, 0))</f>
        <v>90</v>
      </c>
      <c r="CU11" s="289" t="s">
        <v>753</v>
      </c>
      <c r="CV11" s="284">
        <v>94</v>
      </c>
      <c r="CW11" s="278"/>
      <c r="CX11" s="290"/>
      <c r="CZ11" s="289" t="s">
        <v>753</v>
      </c>
      <c r="DA11" s="284">
        <v>96</v>
      </c>
      <c r="DB11" s="278"/>
      <c r="DC11" s="290"/>
    </row>
    <row r="12" spans="1:107" ht="15" thickBot="1" x14ac:dyDescent="0.2">
      <c r="A12" s="272"/>
      <c r="B12" s="567" t="s">
        <v>755</v>
      </c>
      <c r="C12" s="1132">
        <f>IF(AND(D12="",F12=""),"",IF(F12="",D12+E12,F12))</f>
        <v>4</v>
      </c>
      <c r="D12" s="568">
        <f>IF(INDEX(12:12,$F$2)="","", INDEX(12:12, $F$2))</f>
        <v>4</v>
      </c>
      <c r="E12" s="1107"/>
      <c r="F12" s="565"/>
      <c r="G12" s="288"/>
      <c r="H12" s="73"/>
      <c r="M12" s="289" t="s">
        <v>756</v>
      </c>
      <c r="N12" s="284">
        <v>4</v>
      </c>
      <c r="O12" s="278"/>
      <c r="P12" s="290"/>
      <c r="Q12" s="291"/>
      <c r="R12" s="289" t="s">
        <v>756</v>
      </c>
      <c r="S12" s="284">
        <v>2</v>
      </c>
      <c r="T12" s="278"/>
      <c r="U12" s="290"/>
      <c r="W12" s="289" t="s">
        <v>756</v>
      </c>
      <c r="X12" s="284">
        <v>4</v>
      </c>
      <c r="Y12" s="278"/>
      <c r="Z12" s="290"/>
      <c r="AB12" s="289" t="s">
        <v>756</v>
      </c>
      <c r="AC12" s="284">
        <v>2</v>
      </c>
      <c r="AD12" s="278"/>
      <c r="AE12" s="290"/>
      <c r="AF12" s="291"/>
      <c r="AG12" s="289" t="s">
        <v>756</v>
      </c>
      <c r="AH12" s="284">
        <v>4</v>
      </c>
      <c r="AI12" s="278"/>
      <c r="AJ12" s="290"/>
      <c r="AL12" s="289" t="s">
        <v>756</v>
      </c>
      <c r="AM12" s="284">
        <v>2</v>
      </c>
      <c r="AN12" s="278"/>
      <c r="AO12" s="290"/>
      <c r="AQ12" s="289" t="s">
        <v>756</v>
      </c>
      <c r="AR12" s="284">
        <v>4</v>
      </c>
      <c r="AS12" s="278"/>
      <c r="AT12" s="290"/>
      <c r="AV12" s="289" t="s">
        <v>756</v>
      </c>
      <c r="AW12" s="284">
        <v>2</v>
      </c>
      <c r="AX12" s="278"/>
      <c r="AY12" s="290"/>
      <c r="AZ12" s="291"/>
      <c r="BA12" s="289" t="s">
        <v>756</v>
      </c>
      <c r="BB12" s="284">
        <v>4</v>
      </c>
      <c r="BC12" s="278"/>
      <c r="BD12" s="290"/>
      <c r="BF12" s="289" t="s">
        <v>756</v>
      </c>
      <c r="BG12" s="284">
        <v>2</v>
      </c>
      <c r="BH12" s="278"/>
      <c r="BI12" s="290"/>
      <c r="BJ12" s="291"/>
      <c r="BL12" s="289" t="s">
        <v>756</v>
      </c>
      <c r="BM12" s="284">
        <v>4</v>
      </c>
      <c r="BN12" s="278"/>
      <c r="BO12" s="290"/>
      <c r="BQ12" s="289" t="s">
        <v>756</v>
      </c>
      <c r="BR12" s="284">
        <v>2</v>
      </c>
      <c r="BS12" s="278"/>
      <c r="BT12" s="290"/>
      <c r="BV12" s="289" t="s">
        <v>756</v>
      </c>
      <c r="BW12" s="284">
        <v>4</v>
      </c>
      <c r="BX12" s="278"/>
      <c r="BY12" s="290"/>
      <c r="CA12" s="289" t="s">
        <v>756</v>
      </c>
      <c r="CB12" s="284">
        <v>2</v>
      </c>
      <c r="CC12" s="278"/>
      <c r="CD12" s="290"/>
      <c r="CF12" s="289" t="s">
        <v>756</v>
      </c>
      <c r="CG12" s="284">
        <v>4</v>
      </c>
      <c r="CH12" s="278"/>
      <c r="CI12" s="290"/>
      <c r="CK12" s="289" t="s">
        <v>756</v>
      </c>
      <c r="CL12" s="284">
        <v>2</v>
      </c>
      <c r="CM12" s="278"/>
      <c r="CN12" s="290"/>
      <c r="CP12" s="289" t="s">
        <v>756</v>
      </c>
      <c r="CQ12" s="284" cm="1">
        <f t="array" ref="CQ12">INDEX(12:12, $CS$10)*$CS$8 + INDEX(12:12, $CS$11)*(1-$CS$8)</f>
        <v>2</v>
      </c>
      <c r="CR12" s="826" t="s">
        <v>757</v>
      </c>
      <c r="CS12" s="827" t="str">
        <f>IF(CQ36 = "N/A", "Anodes don't match", "Good")</f>
        <v>Good</v>
      </c>
      <c r="CU12" s="289" t="s">
        <v>756</v>
      </c>
      <c r="CV12" s="284">
        <v>4</v>
      </c>
      <c r="CW12" s="278"/>
      <c r="CX12" s="290"/>
      <c r="CZ12" s="289" t="s">
        <v>756</v>
      </c>
      <c r="DA12" s="284">
        <v>2</v>
      </c>
      <c r="DB12" s="278"/>
      <c r="DC12" s="290"/>
    </row>
    <row r="13" spans="1:107" x14ac:dyDescent="0.15">
      <c r="A13" s="272"/>
      <c r="B13" s="569" t="s">
        <v>758</v>
      </c>
      <c r="C13" s="1132">
        <f>IF(AND(D13="",F13=""),"",IF(F13="",D13+E13,F13))</f>
        <v>2</v>
      </c>
      <c r="D13" s="568">
        <f>IF(INDEX(13:13,$F$2)="","", INDEX(13:13, $F$2))</f>
        <v>2</v>
      </c>
      <c r="E13" s="1107"/>
      <c r="F13" s="565"/>
      <c r="G13" s="288"/>
      <c r="H13" s="273"/>
      <c r="M13" s="283" t="s">
        <v>759</v>
      </c>
      <c r="N13" s="284">
        <v>2</v>
      </c>
      <c r="O13" s="278"/>
      <c r="P13" s="290"/>
      <c r="Q13" s="291"/>
      <c r="R13" s="283" t="s">
        <v>759</v>
      </c>
      <c r="S13" s="284">
        <v>2</v>
      </c>
      <c r="T13" s="278"/>
      <c r="U13" s="290"/>
      <c r="W13" s="283" t="s">
        <v>759</v>
      </c>
      <c r="X13" s="284">
        <v>2</v>
      </c>
      <c r="Y13" s="278"/>
      <c r="Z13" s="290"/>
      <c r="AB13" s="283" t="s">
        <v>759</v>
      </c>
      <c r="AC13" s="284">
        <v>2</v>
      </c>
      <c r="AD13" s="278"/>
      <c r="AE13" s="290"/>
      <c r="AF13" s="291"/>
      <c r="AG13" s="283" t="s">
        <v>759</v>
      </c>
      <c r="AH13" s="284">
        <v>2</v>
      </c>
      <c r="AI13" s="278"/>
      <c r="AJ13" s="290"/>
      <c r="AL13" s="283" t="s">
        <v>759</v>
      </c>
      <c r="AM13" s="284">
        <v>2</v>
      </c>
      <c r="AN13" s="278"/>
      <c r="AO13" s="290"/>
      <c r="AQ13" s="283" t="s">
        <v>759</v>
      </c>
      <c r="AR13" s="284">
        <v>2</v>
      </c>
      <c r="AS13" s="278"/>
      <c r="AT13" s="290"/>
      <c r="AV13" s="283" t="s">
        <v>759</v>
      </c>
      <c r="AW13" s="284">
        <v>2</v>
      </c>
      <c r="AX13" s="278"/>
      <c r="AY13" s="290"/>
      <c r="AZ13" s="291"/>
      <c r="BA13" s="283" t="s">
        <v>759</v>
      </c>
      <c r="BB13" s="284">
        <v>2</v>
      </c>
      <c r="BC13" s="278"/>
      <c r="BD13" s="290"/>
      <c r="BF13" s="283" t="s">
        <v>759</v>
      </c>
      <c r="BG13" s="284">
        <v>2</v>
      </c>
      <c r="BH13" s="278"/>
      <c r="BI13" s="290"/>
      <c r="BJ13" s="291"/>
      <c r="BL13" s="283" t="s">
        <v>759</v>
      </c>
      <c r="BM13" s="284">
        <v>2</v>
      </c>
      <c r="BN13" s="278"/>
      <c r="BO13" s="290"/>
      <c r="BQ13" s="283" t="s">
        <v>759</v>
      </c>
      <c r="BR13" s="284">
        <v>2</v>
      </c>
      <c r="BS13" s="278"/>
      <c r="BT13" s="290"/>
      <c r="BV13" s="283" t="s">
        <v>759</v>
      </c>
      <c r="BW13" s="284">
        <v>2</v>
      </c>
      <c r="BX13" s="278"/>
      <c r="BY13" s="290"/>
      <c r="CA13" s="283" t="s">
        <v>759</v>
      </c>
      <c r="CB13" s="284">
        <v>2</v>
      </c>
      <c r="CC13" s="278"/>
      <c r="CD13" s="290"/>
      <c r="CF13" s="283" t="s">
        <v>759</v>
      </c>
      <c r="CG13" s="284">
        <v>2</v>
      </c>
      <c r="CH13" s="278"/>
      <c r="CI13" s="290"/>
      <c r="CK13" s="283" t="s">
        <v>759</v>
      </c>
      <c r="CL13" s="284">
        <v>2</v>
      </c>
      <c r="CM13" s="278"/>
      <c r="CN13" s="290"/>
      <c r="CP13" s="283" t="s">
        <v>759</v>
      </c>
      <c r="CQ13" s="284" cm="1">
        <f t="array" ref="CQ13">INDEX(13:13, $CS$10)*$CS$8 + INDEX(13:13, $CS$11)*(1-$CS$8)</f>
        <v>2</v>
      </c>
      <c r="CR13" s="278"/>
      <c r="CS13" s="290"/>
      <c r="CU13" s="283" t="s">
        <v>759</v>
      </c>
      <c r="CV13" s="284">
        <v>2</v>
      </c>
      <c r="CW13" s="278"/>
      <c r="CX13" s="290"/>
      <c r="CZ13" s="283" t="s">
        <v>759</v>
      </c>
      <c r="DA13" s="284">
        <v>2</v>
      </c>
      <c r="DB13" s="278"/>
      <c r="DC13" s="290"/>
    </row>
    <row r="14" spans="1:107" x14ac:dyDescent="0.15">
      <c r="A14" s="272"/>
      <c r="B14" s="569" t="s">
        <v>760</v>
      </c>
      <c r="C14" s="1132" t="str">
        <f>IF(AND(D14="",F14=""),"",IF(F14="",D14,F14))</f>
        <v>NMP</v>
      </c>
      <c r="D14" s="564" t="str">
        <f>IF(INDEX(14:14,$F$2)="","", INDEX(14:14, $F$2))</f>
        <v>NMP</v>
      </c>
      <c r="E14" s="564"/>
      <c r="F14" s="565"/>
      <c r="G14" s="277"/>
      <c r="H14" s="273"/>
      <c r="M14" s="283" t="s">
        <v>761</v>
      </c>
      <c r="N14" s="284" t="s">
        <v>762</v>
      </c>
      <c r="O14" s="278"/>
      <c r="P14" s="282"/>
      <c r="Q14" s="278"/>
      <c r="R14" s="283" t="s">
        <v>761</v>
      </c>
      <c r="S14" s="284" t="s">
        <v>762</v>
      </c>
      <c r="T14" s="278"/>
      <c r="U14" s="282"/>
      <c r="W14" s="283" t="s">
        <v>761</v>
      </c>
      <c r="X14" s="284" t="s">
        <v>762</v>
      </c>
      <c r="Y14" s="278"/>
      <c r="Z14" s="282"/>
      <c r="AB14" s="283" t="s">
        <v>761</v>
      </c>
      <c r="AC14" s="284" t="s">
        <v>762</v>
      </c>
      <c r="AD14" s="278"/>
      <c r="AE14" s="282"/>
      <c r="AF14" s="278"/>
      <c r="AG14" s="283" t="s">
        <v>761</v>
      </c>
      <c r="AH14" s="284" t="s">
        <v>762</v>
      </c>
      <c r="AI14" s="278"/>
      <c r="AJ14" s="282"/>
      <c r="AL14" s="283" t="s">
        <v>761</v>
      </c>
      <c r="AM14" s="284" t="s">
        <v>762</v>
      </c>
      <c r="AN14" s="278"/>
      <c r="AO14" s="282"/>
      <c r="AQ14" s="283" t="s">
        <v>761</v>
      </c>
      <c r="AR14" s="284" t="s">
        <v>762</v>
      </c>
      <c r="AS14" s="278"/>
      <c r="AT14" s="282"/>
      <c r="AV14" s="283" t="s">
        <v>761</v>
      </c>
      <c r="AW14" s="284" t="s">
        <v>762</v>
      </c>
      <c r="AX14" s="278"/>
      <c r="AY14" s="282"/>
      <c r="AZ14" s="278"/>
      <c r="BA14" s="283" t="s">
        <v>761</v>
      </c>
      <c r="BB14" s="284" t="s">
        <v>762</v>
      </c>
      <c r="BC14" s="278"/>
      <c r="BD14" s="282"/>
      <c r="BF14" s="283" t="s">
        <v>761</v>
      </c>
      <c r="BG14" s="284" t="s">
        <v>762</v>
      </c>
      <c r="BH14" s="278"/>
      <c r="BI14" s="282"/>
      <c r="BJ14" s="278"/>
      <c r="BL14" s="283" t="s">
        <v>761</v>
      </c>
      <c r="BM14" s="284" t="s">
        <v>762</v>
      </c>
      <c r="BN14" s="278"/>
      <c r="BO14" s="282"/>
      <c r="BQ14" s="283" t="s">
        <v>761</v>
      </c>
      <c r="BR14" s="284" t="s">
        <v>762</v>
      </c>
      <c r="BS14" s="278"/>
      <c r="BT14" s="282"/>
      <c r="BV14" s="283" t="s">
        <v>761</v>
      </c>
      <c r="BW14" s="284" t="s">
        <v>762</v>
      </c>
      <c r="BX14" s="278"/>
      <c r="BY14" s="282"/>
      <c r="CA14" s="283" t="s">
        <v>761</v>
      </c>
      <c r="CB14" s="284" t="s">
        <v>762</v>
      </c>
      <c r="CC14" s="278"/>
      <c r="CD14" s="282"/>
      <c r="CF14" s="283" t="s">
        <v>761</v>
      </c>
      <c r="CG14" s="284" t="s">
        <v>762</v>
      </c>
      <c r="CH14" s="278"/>
      <c r="CI14" s="282"/>
      <c r="CK14" s="283" t="s">
        <v>761</v>
      </c>
      <c r="CL14" s="284" t="s">
        <v>762</v>
      </c>
      <c r="CM14" s="278"/>
      <c r="CN14" s="282"/>
      <c r="CP14" s="283" t="s">
        <v>761</v>
      </c>
      <c r="CQ14" s="284" t="s">
        <v>762</v>
      </c>
      <c r="CR14" s="278"/>
      <c r="CS14" s="282"/>
      <c r="CU14" s="283" t="s">
        <v>761</v>
      </c>
      <c r="CV14" s="284" t="s">
        <v>762</v>
      </c>
      <c r="CW14" s="278"/>
      <c r="CX14" s="282"/>
      <c r="CZ14" s="283" t="s">
        <v>761</v>
      </c>
      <c r="DA14" s="284" t="s">
        <v>762</v>
      </c>
      <c r="DB14" s="278"/>
      <c r="DC14" s="282"/>
    </row>
    <row r="15" spans="1:107" x14ac:dyDescent="0.15">
      <c r="A15" s="272"/>
      <c r="B15" s="569"/>
      <c r="C15" s="563"/>
      <c r="D15" s="564"/>
      <c r="E15" s="564"/>
      <c r="F15" s="565"/>
      <c r="G15" s="277"/>
      <c r="H15" s="273"/>
      <c r="M15" s="285"/>
      <c r="N15" s="284"/>
      <c r="O15" s="278"/>
      <c r="P15" s="282"/>
      <c r="Q15" s="278"/>
      <c r="R15" s="285"/>
      <c r="S15" s="284"/>
      <c r="T15" s="278"/>
      <c r="U15" s="282"/>
      <c r="W15" s="285"/>
      <c r="X15" s="284"/>
      <c r="Y15" s="278"/>
      <c r="Z15" s="282"/>
      <c r="AB15" s="285"/>
      <c r="AC15" s="284"/>
      <c r="AD15" s="278"/>
      <c r="AE15" s="282"/>
      <c r="AF15" s="278"/>
      <c r="AG15" s="285"/>
      <c r="AH15" s="284"/>
      <c r="AI15" s="278"/>
      <c r="AJ15" s="282"/>
      <c r="AL15" s="285"/>
      <c r="AM15" s="284"/>
      <c r="AN15" s="278"/>
      <c r="AO15" s="282"/>
      <c r="AQ15" s="285"/>
      <c r="AR15" s="284"/>
      <c r="AS15" s="278"/>
      <c r="AT15" s="282"/>
      <c r="AV15" s="285"/>
      <c r="AW15" s="284"/>
      <c r="AX15" s="278"/>
      <c r="AY15" s="282"/>
      <c r="AZ15" s="278"/>
      <c r="BA15" s="285"/>
      <c r="BB15" s="284"/>
      <c r="BC15" s="278"/>
      <c r="BD15" s="282"/>
      <c r="BF15" s="285"/>
      <c r="BG15" s="284"/>
      <c r="BH15" s="278"/>
      <c r="BI15" s="282"/>
      <c r="BJ15" s="278"/>
      <c r="BL15" s="285"/>
      <c r="BM15" s="284"/>
      <c r="BN15" s="278"/>
      <c r="BO15" s="282"/>
      <c r="BQ15" s="285"/>
      <c r="BR15" s="284"/>
      <c r="BS15" s="278"/>
      <c r="BT15" s="282"/>
      <c r="BV15" s="285"/>
      <c r="BW15" s="284"/>
      <c r="BX15" s="278"/>
      <c r="BY15" s="282"/>
      <c r="CA15" s="285"/>
      <c r="CB15" s="284"/>
      <c r="CC15" s="278"/>
      <c r="CD15" s="282"/>
      <c r="CF15" s="285"/>
      <c r="CG15" s="284"/>
      <c r="CH15" s="278"/>
      <c r="CI15" s="282"/>
      <c r="CK15" s="285"/>
      <c r="CL15" s="284"/>
      <c r="CM15" s="278"/>
      <c r="CN15" s="282"/>
      <c r="CP15" s="285"/>
      <c r="CQ15" s="284"/>
      <c r="CR15" s="278"/>
      <c r="CS15" s="282"/>
      <c r="CU15" s="285"/>
      <c r="CV15" s="284"/>
      <c r="CW15" s="278"/>
      <c r="CX15" s="282"/>
      <c r="CZ15" s="285"/>
      <c r="DA15" s="284"/>
      <c r="DB15" s="278"/>
      <c r="DC15" s="282"/>
    </row>
    <row r="16" spans="1:107" ht="16" x14ac:dyDescent="0.2">
      <c r="A16" s="272"/>
      <c r="B16" s="591" t="s">
        <v>763</v>
      </c>
      <c r="C16" s="563"/>
      <c r="D16" s="572" t="str">
        <f>IF(INDEX(16:16,$F$2)="","", INDEX(16:16, $F$2))</f>
        <v/>
      </c>
      <c r="E16" s="572"/>
      <c r="F16" s="565"/>
      <c r="G16" s="293"/>
      <c r="H16" s="273"/>
      <c r="M16" s="285" t="s">
        <v>764</v>
      </c>
      <c r="N16" s="246"/>
      <c r="O16" s="278"/>
      <c r="P16" s="295"/>
      <c r="Q16" s="296"/>
      <c r="R16" s="285" t="s">
        <v>764</v>
      </c>
      <c r="S16" s="246"/>
      <c r="T16" s="278"/>
      <c r="U16" s="295"/>
      <c r="W16" s="285" t="s">
        <v>764</v>
      </c>
      <c r="X16" s="246"/>
      <c r="Y16" s="278"/>
      <c r="Z16" s="295"/>
      <c r="AB16" s="285" t="s">
        <v>764</v>
      </c>
      <c r="AC16" s="246"/>
      <c r="AD16" s="278"/>
      <c r="AE16" s="295"/>
      <c r="AF16" s="296"/>
      <c r="AG16" s="285" t="s">
        <v>764</v>
      </c>
      <c r="AH16" s="246"/>
      <c r="AI16" s="278"/>
      <c r="AJ16" s="295"/>
      <c r="AL16" s="285" t="s">
        <v>764</v>
      </c>
      <c r="AM16" s="246"/>
      <c r="AN16" s="278"/>
      <c r="AO16" s="295"/>
      <c r="AQ16" s="285" t="s">
        <v>764</v>
      </c>
      <c r="AR16" s="246"/>
      <c r="AS16" s="278"/>
      <c r="AT16" s="295"/>
      <c r="AV16" s="285" t="s">
        <v>764</v>
      </c>
      <c r="AW16" s="246"/>
      <c r="AX16" s="278"/>
      <c r="AY16" s="295"/>
      <c r="AZ16" s="296"/>
      <c r="BA16" s="285" t="s">
        <v>764</v>
      </c>
      <c r="BB16" s="246"/>
      <c r="BC16" s="278"/>
      <c r="BD16" s="295"/>
      <c r="BF16" s="285" t="s">
        <v>764</v>
      </c>
      <c r="BG16" s="246"/>
      <c r="BH16" s="278"/>
      <c r="BI16" s="295"/>
      <c r="BJ16" s="296"/>
      <c r="BL16" s="285" t="s">
        <v>764</v>
      </c>
      <c r="BM16" s="246"/>
      <c r="BN16" s="278"/>
      <c r="BO16" s="295"/>
      <c r="BQ16" s="285" t="s">
        <v>764</v>
      </c>
      <c r="BR16" s="246"/>
      <c r="BS16" s="278"/>
      <c r="BT16" s="295"/>
      <c r="BV16" s="285" t="s">
        <v>764</v>
      </c>
      <c r="BW16" s="246"/>
      <c r="BX16" s="278"/>
      <c r="BY16" s="295"/>
      <c r="CA16" s="285" t="s">
        <v>764</v>
      </c>
      <c r="CB16" s="246"/>
      <c r="CC16" s="278"/>
      <c r="CD16" s="295"/>
      <c r="CF16" s="285" t="s">
        <v>764</v>
      </c>
      <c r="CG16" s="246"/>
      <c r="CH16" s="278"/>
      <c r="CI16" s="295"/>
      <c r="CK16" s="285" t="s">
        <v>764</v>
      </c>
      <c r="CL16" s="246"/>
      <c r="CM16" s="278"/>
      <c r="CN16" s="295"/>
      <c r="CP16" s="285" t="s">
        <v>764</v>
      </c>
      <c r="CQ16" s="246"/>
      <c r="CR16" s="278"/>
      <c r="CS16" s="295"/>
      <c r="CU16" s="285" t="s">
        <v>764</v>
      </c>
      <c r="CV16" s="246"/>
      <c r="CW16" s="278"/>
      <c r="CX16" s="295"/>
      <c r="CZ16" s="285" t="s">
        <v>764</v>
      </c>
      <c r="DA16" s="246"/>
      <c r="DB16" s="278"/>
      <c r="DC16" s="295"/>
    </row>
    <row r="17" spans="1:107" x14ac:dyDescent="0.15">
      <c r="A17" s="272"/>
      <c r="B17" s="569" t="s">
        <v>765</v>
      </c>
      <c r="C17" s="1133">
        <f>IF(AND(D17="",F17=""),"",IF(F17="",D17+E17,F17))</f>
        <v>4.6500000000000004</v>
      </c>
      <c r="D17" s="1018">
        <f>IF(INDEX(17:17,$F$2)="","", INDEX(17:17, $F$2))</f>
        <v>4.6500000000000004</v>
      </c>
      <c r="E17" s="1108"/>
      <c r="F17" s="565"/>
      <c r="G17" s="293"/>
      <c r="H17" s="273"/>
      <c r="M17" s="289" t="s">
        <v>735</v>
      </c>
      <c r="N17" s="284">
        <v>4.6500000000000004</v>
      </c>
      <c r="O17" s="278"/>
      <c r="P17" s="295"/>
      <c r="Q17" s="296"/>
      <c r="R17" s="289" t="s">
        <v>735</v>
      </c>
      <c r="S17" s="284">
        <v>4.6500000000000004</v>
      </c>
      <c r="T17" s="278"/>
      <c r="U17" s="295"/>
      <c r="W17" s="289" t="s">
        <v>735</v>
      </c>
      <c r="X17" s="284">
        <v>4.6500000000000004</v>
      </c>
      <c r="Y17" s="607"/>
      <c r="Z17" s="295"/>
      <c r="AB17" s="289" t="s">
        <v>735</v>
      </c>
      <c r="AC17" s="284">
        <v>4.6500000000000004</v>
      </c>
      <c r="AD17" s="607"/>
      <c r="AE17" s="295"/>
      <c r="AF17" s="296"/>
      <c r="AG17" s="289" t="s">
        <v>735</v>
      </c>
      <c r="AH17" s="284">
        <v>4.6500000000000004</v>
      </c>
      <c r="AI17" s="278"/>
      <c r="AJ17" s="295"/>
      <c r="AL17" s="289" t="s">
        <v>735</v>
      </c>
      <c r="AM17" s="284">
        <v>4.6500000000000004</v>
      </c>
      <c r="AN17" s="278"/>
      <c r="AO17" s="295"/>
      <c r="AQ17" s="289" t="s">
        <v>735</v>
      </c>
      <c r="AR17" s="284">
        <v>4.6500000000000004</v>
      </c>
      <c r="AS17" s="278"/>
      <c r="AT17" s="295"/>
      <c r="AV17" s="289" t="s">
        <v>735</v>
      </c>
      <c r="AW17" s="284">
        <v>4.6500000000000004</v>
      </c>
      <c r="AX17" s="278"/>
      <c r="AY17" s="295"/>
      <c r="AZ17" s="296"/>
      <c r="BA17" s="289" t="s">
        <v>735</v>
      </c>
      <c r="BB17" s="284">
        <v>4.6500000000000004</v>
      </c>
      <c r="BC17" s="278"/>
      <c r="BD17" s="295"/>
      <c r="BF17" s="289" t="s">
        <v>735</v>
      </c>
      <c r="BG17" s="284">
        <v>4.6500000000000004</v>
      </c>
      <c r="BH17" s="278"/>
      <c r="BI17" s="295"/>
      <c r="BJ17" s="296"/>
      <c r="BL17" s="289" t="s">
        <v>735</v>
      </c>
      <c r="BM17" s="284">
        <v>4.78</v>
      </c>
      <c r="BN17" s="278"/>
      <c r="BO17" s="295"/>
      <c r="BQ17" s="289" t="s">
        <v>735</v>
      </c>
      <c r="BR17" s="284">
        <v>4.78</v>
      </c>
      <c r="BS17" s="278"/>
      <c r="BT17" s="295"/>
      <c r="BV17" s="289" t="s">
        <v>735</v>
      </c>
      <c r="BW17" s="284">
        <v>3.45</v>
      </c>
      <c r="BX17" s="278"/>
      <c r="BY17" s="295"/>
      <c r="CA17" s="289" t="s">
        <v>735</v>
      </c>
      <c r="CB17" s="284">
        <v>3.45</v>
      </c>
      <c r="CC17" s="278"/>
      <c r="CD17" s="295"/>
      <c r="CF17" s="289" t="s">
        <v>735</v>
      </c>
      <c r="CG17" s="284">
        <v>4.2300000000000004</v>
      </c>
      <c r="CH17" s="278"/>
      <c r="CI17" s="295"/>
      <c r="CK17" s="289" t="s">
        <v>735</v>
      </c>
      <c r="CL17" s="284">
        <v>4.2300000000000004</v>
      </c>
      <c r="CM17" s="278"/>
      <c r="CN17" s="295"/>
      <c r="CP17" s="289" t="s">
        <v>735</v>
      </c>
      <c r="CQ17" s="284" cm="1">
        <f t="array" ref="CQ17">INDEX(17:17, $CS$10)*$CS$8 + INDEX(17:17, $CS$11)*(1-$CS$8)</f>
        <v>4.4400000000000004</v>
      </c>
      <c r="CR17" s="278"/>
      <c r="CS17" s="295"/>
      <c r="CU17" s="289" t="s">
        <v>735</v>
      </c>
      <c r="CV17" s="284">
        <v>4.2300000000000004</v>
      </c>
      <c r="CW17" s="278"/>
      <c r="CX17" s="295"/>
      <c r="CZ17" s="289" t="s">
        <v>735</v>
      </c>
      <c r="DA17" s="284">
        <v>4.2300000000000004</v>
      </c>
      <c r="DB17" s="278"/>
      <c r="DC17" s="295"/>
    </row>
    <row r="18" spans="1:107" x14ac:dyDescent="0.15">
      <c r="A18" s="272"/>
      <c r="B18" s="569" t="s">
        <v>766</v>
      </c>
      <c r="C18" s="1131">
        <f>IF(AND(D18="",F18=""),"",IF(F18="",D18+E18,F18))</f>
        <v>1.825</v>
      </c>
      <c r="D18" s="1018">
        <f>IF(INDEX(18:18,$F$2)="","", INDEX(18:18, $F$2))</f>
        <v>1.825</v>
      </c>
      <c r="E18" s="1108"/>
      <c r="F18" s="565"/>
      <c r="G18" s="293"/>
      <c r="H18" s="273"/>
      <c r="M18" s="289" t="s">
        <v>767</v>
      </c>
      <c r="N18" s="284">
        <v>1.825</v>
      </c>
      <c r="O18" s="278"/>
      <c r="P18" s="295"/>
      <c r="Q18" s="296"/>
      <c r="R18" s="289" t="s">
        <v>767</v>
      </c>
      <c r="S18" s="284">
        <v>1.825</v>
      </c>
      <c r="T18" s="278"/>
      <c r="U18" s="295"/>
      <c r="W18" s="289" t="s">
        <v>767</v>
      </c>
      <c r="X18" s="284">
        <v>1.825</v>
      </c>
      <c r="Y18" s="278"/>
      <c r="Z18" s="295"/>
      <c r="AB18" s="289" t="s">
        <v>767</v>
      </c>
      <c r="AC18" s="284">
        <v>1.825</v>
      </c>
      <c r="AD18" s="278"/>
      <c r="AE18" s="295"/>
      <c r="AF18" s="296"/>
      <c r="AG18" s="289" t="s">
        <v>767</v>
      </c>
      <c r="AH18" s="284">
        <v>1.825</v>
      </c>
      <c r="AI18" s="278"/>
      <c r="AJ18" s="295"/>
      <c r="AL18" s="289" t="s">
        <v>767</v>
      </c>
      <c r="AM18" s="284">
        <v>1.825</v>
      </c>
      <c r="AN18" s="278"/>
      <c r="AO18" s="295"/>
      <c r="AQ18" s="289" t="s">
        <v>767</v>
      </c>
      <c r="AR18" s="284">
        <v>1.825</v>
      </c>
      <c r="AS18" s="278"/>
      <c r="AT18" s="295"/>
      <c r="AV18" s="289" t="s">
        <v>767</v>
      </c>
      <c r="AW18" s="284">
        <v>1.825</v>
      </c>
      <c r="AX18" s="278"/>
      <c r="AY18" s="295"/>
      <c r="AZ18" s="296"/>
      <c r="BA18" s="289" t="s">
        <v>767</v>
      </c>
      <c r="BB18" s="284">
        <v>1.825</v>
      </c>
      <c r="BC18" s="278"/>
      <c r="BD18" s="295"/>
      <c r="BF18" s="289" t="s">
        <v>767</v>
      </c>
      <c r="BG18" s="284">
        <v>1.825</v>
      </c>
      <c r="BH18" s="278"/>
      <c r="BI18" s="295"/>
      <c r="BJ18" s="296"/>
      <c r="BL18" s="289" t="s">
        <v>767</v>
      </c>
      <c r="BM18" s="284">
        <v>1.825</v>
      </c>
      <c r="BN18" s="278"/>
      <c r="BO18" s="295"/>
      <c r="BQ18" s="289" t="s">
        <v>767</v>
      </c>
      <c r="BR18" s="284">
        <v>1.825</v>
      </c>
      <c r="BS18" s="278"/>
      <c r="BT18" s="295"/>
      <c r="BV18" s="289" t="s">
        <v>767</v>
      </c>
      <c r="BW18" s="284">
        <v>1.825</v>
      </c>
      <c r="BX18" s="278"/>
      <c r="BY18" s="295"/>
      <c r="CA18" s="289" t="s">
        <v>767</v>
      </c>
      <c r="CB18" s="284">
        <v>1.825</v>
      </c>
      <c r="CC18" s="278"/>
      <c r="CD18" s="295"/>
      <c r="CF18" s="289" t="s">
        <v>767</v>
      </c>
      <c r="CG18" s="284">
        <v>1.825</v>
      </c>
      <c r="CH18" s="278"/>
      <c r="CI18" s="295"/>
      <c r="CK18" s="289" t="s">
        <v>767</v>
      </c>
      <c r="CL18" s="284">
        <v>1.825</v>
      </c>
      <c r="CM18" s="278"/>
      <c r="CN18" s="295"/>
      <c r="CP18" s="289" t="s">
        <v>767</v>
      </c>
      <c r="CQ18" s="284" cm="1">
        <f t="array" ref="CQ18">INDEX(18:18, $CS$10)*$CS$8 + INDEX(18:18, $CS$11)*(1-$CS$8)</f>
        <v>1.825</v>
      </c>
      <c r="CR18" s="278"/>
      <c r="CS18" s="295"/>
      <c r="CU18" s="289" t="s">
        <v>767</v>
      </c>
      <c r="CV18" s="284">
        <v>1.825</v>
      </c>
      <c r="CW18" s="278"/>
      <c r="CX18" s="295"/>
      <c r="CZ18" s="289" t="s">
        <v>767</v>
      </c>
      <c r="DA18" s="284">
        <v>1.825</v>
      </c>
      <c r="DB18" s="278"/>
      <c r="DC18" s="295"/>
    </row>
    <row r="19" spans="1:107" x14ac:dyDescent="0.15">
      <c r="A19" s="272"/>
      <c r="B19" s="569" t="s">
        <v>768</v>
      </c>
      <c r="C19" s="1131">
        <f>IF(AND(D19="",F19=""),"",IF(F19="",D19+E19,F19))</f>
        <v>1.77</v>
      </c>
      <c r="D19" s="1018">
        <f>IF(INDEX(19:19,$F$2)="","", INDEX(19:19, $F$2))</f>
        <v>1.77</v>
      </c>
      <c r="E19" s="1108"/>
      <c r="F19" s="565"/>
      <c r="G19" s="293"/>
      <c r="H19" s="273"/>
      <c r="M19" s="283" t="s">
        <v>769</v>
      </c>
      <c r="N19" s="284">
        <v>1.77</v>
      </c>
      <c r="O19" s="278"/>
      <c r="P19" s="295"/>
      <c r="Q19" s="296"/>
      <c r="R19" s="283" t="s">
        <v>769</v>
      </c>
      <c r="S19" s="284">
        <v>1.77</v>
      </c>
      <c r="T19" s="278"/>
      <c r="U19" s="295"/>
      <c r="W19" s="283" t="s">
        <v>769</v>
      </c>
      <c r="X19" s="284">
        <v>1.77</v>
      </c>
      <c r="Y19" s="278"/>
      <c r="Z19" s="295"/>
      <c r="AB19" s="283" t="s">
        <v>769</v>
      </c>
      <c r="AC19" s="284">
        <v>1.77</v>
      </c>
      <c r="AD19" s="278"/>
      <c r="AE19" s="295"/>
      <c r="AF19" s="296"/>
      <c r="AG19" s="283" t="s">
        <v>769</v>
      </c>
      <c r="AH19" s="284">
        <v>1.77</v>
      </c>
      <c r="AI19" s="278"/>
      <c r="AJ19" s="295"/>
      <c r="AL19" s="283" t="s">
        <v>769</v>
      </c>
      <c r="AM19" s="284">
        <v>1.77</v>
      </c>
      <c r="AN19" s="278"/>
      <c r="AO19" s="295"/>
      <c r="AQ19" s="283" t="s">
        <v>769</v>
      </c>
      <c r="AR19" s="284">
        <v>1.77</v>
      </c>
      <c r="AS19" s="278"/>
      <c r="AT19" s="295"/>
      <c r="AV19" s="283" t="s">
        <v>769</v>
      </c>
      <c r="AW19" s="284">
        <v>1.77</v>
      </c>
      <c r="AX19" s="278"/>
      <c r="AY19" s="295"/>
      <c r="AZ19" s="296"/>
      <c r="BA19" s="283" t="s">
        <v>769</v>
      </c>
      <c r="BB19" s="284">
        <v>1.77</v>
      </c>
      <c r="BC19" s="278"/>
      <c r="BD19" s="295"/>
      <c r="BF19" s="283" t="s">
        <v>769</v>
      </c>
      <c r="BG19" s="284">
        <v>1.77</v>
      </c>
      <c r="BH19" s="278"/>
      <c r="BI19" s="295"/>
      <c r="BJ19" s="296"/>
      <c r="BL19" s="283" t="s">
        <v>769</v>
      </c>
      <c r="BM19" s="284">
        <v>1.77</v>
      </c>
      <c r="BN19" s="278"/>
      <c r="BO19" s="295"/>
      <c r="BQ19" s="283" t="s">
        <v>769</v>
      </c>
      <c r="BR19" s="284">
        <v>1.77</v>
      </c>
      <c r="BS19" s="278"/>
      <c r="BT19" s="295"/>
      <c r="BV19" s="283" t="s">
        <v>769</v>
      </c>
      <c r="BW19" s="284">
        <v>1.77</v>
      </c>
      <c r="BX19" s="278"/>
      <c r="BY19" s="295"/>
      <c r="CA19" s="283" t="s">
        <v>769</v>
      </c>
      <c r="CB19" s="284">
        <v>1.77</v>
      </c>
      <c r="CC19" s="278"/>
      <c r="CD19" s="295"/>
      <c r="CF19" s="283" t="s">
        <v>769</v>
      </c>
      <c r="CG19" s="284">
        <v>1.77</v>
      </c>
      <c r="CH19" s="278"/>
      <c r="CI19" s="295"/>
      <c r="CK19" s="283" t="s">
        <v>769</v>
      </c>
      <c r="CL19" s="284">
        <v>1.77</v>
      </c>
      <c r="CM19" s="278"/>
      <c r="CN19" s="295"/>
      <c r="CP19" s="283" t="s">
        <v>769</v>
      </c>
      <c r="CQ19" s="284" cm="1">
        <f t="array" ref="CQ19">INDEX(19:19, $CS$10)*$CS$8 + INDEX(19:19, $CS$11)*(1-$CS$8)</f>
        <v>1.77</v>
      </c>
      <c r="CR19" s="278"/>
      <c r="CS19" s="295"/>
      <c r="CU19" s="283" t="s">
        <v>769</v>
      </c>
      <c r="CV19" s="284">
        <v>1.77</v>
      </c>
      <c r="CW19" s="278"/>
      <c r="CX19" s="295"/>
      <c r="CZ19" s="283" t="s">
        <v>769</v>
      </c>
      <c r="DA19" s="284">
        <v>1.77</v>
      </c>
      <c r="DB19" s="278"/>
      <c r="DC19" s="295"/>
    </row>
    <row r="20" spans="1:107" ht="15" x14ac:dyDescent="0.2">
      <c r="A20" s="272"/>
      <c r="B20" s="569" t="s">
        <v>770</v>
      </c>
      <c r="C20" s="1131">
        <f>IF(AND(D20="",F20=""),"",IF(F20="",D20+E20,F20))</f>
        <v>1.03</v>
      </c>
      <c r="D20" s="1018">
        <f>IF(INDEX(20:20,$F$2)="","", INDEX(20:20, $F$2))</f>
        <v>1.03</v>
      </c>
      <c r="E20" s="1108"/>
      <c r="F20" s="565"/>
      <c r="G20" s="293"/>
      <c r="H20" s="273"/>
      <c r="M20" s="283" t="s">
        <v>761</v>
      </c>
      <c r="N20" s="284">
        <v>1.03</v>
      </c>
      <c r="O20" s="278"/>
      <c r="P20" s="295"/>
      <c r="Q20" s="296"/>
      <c r="R20" s="283" t="s">
        <v>761</v>
      </c>
      <c r="S20" s="284">
        <v>1.03</v>
      </c>
      <c r="T20" s="278"/>
      <c r="U20" s="295"/>
      <c r="W20" s="283" t="s">
        <v>761</v>
      </c>
      <c r="X20" s="284">
        <v>1.03</v>
      </c>
      <c r="Y20" s="278"/>
      <c r="Z20" s="295"/>
      <c r="AB20" s="283" t="s">
        <v>761</v>
      </c>
      <c r="AC20" s="284">
        <v>1.03</v>
      </c>
      <c r="AD20" s="278"/>
      <c r="AE20" s="295"/>
      <c r="AF20" s="296"/>
      <c r="AG20" s="283" t="s">
        <v>761</v>
      </c>
      <c r="AH20" s="284">
        <v>1.03</v>
      </c>
      <c r="AI20" s="278"/>
      <c r="AJ20" s="295"/>
      <c r="AL20" s="283" t="s">
        <v>761</v>
      </c>
      <c r="AM20" s="284">
        <v>1.03</v>
      </c>
      <c r="AN20" s="278"/>
      <c r="AO20" s="295"/>
      <c r="AQ20" s="283" t="s">
        <v>761</v>
      </c>
      <c r="AR20" s="284">
        <v>1.03</v>
      </c>
      <c r="AS20" s="278"/>
      <c r="AT20" s="295"/>
      <c r="AV20" s="283" t="s">
        <v>761</v>
      </c>
      <c r="AW20" s="284">
        <v>1.03</v>
      </c>
      <c r="AX20" s="278"/>
      <c r="AY20" s="295"/>
      <c r="AZ20" s="296"/>
      <c r="BA20" s="283" t="s">
        <v>761</v>
      </c>
      <c r="BB20" s="284">
        <v>1.03</v>
      </c>
      <c r="BC20" s="278"/>
      <c r="BD20" s="295"/>
      <c r="BF20" s="283" t="s">
        <v>761</v>
      </c>
      <c r="BG20" s="284">
        <v>1.03</v>
      </c>
      <c r="BH20" s="278"/>
      <c r="BI20" s="295"/>
      <c r="BJ20" s="296"/>
      <c r="BL20" s="283" t="s">
        <v>761</v>
      </c>
      <c r="BM20" s="284">
        <v>1.03</v>
      </c>
      <c r="BN20" s="278"/>
      <c r="BO20" s="295"/>
      <c r="BQ20" s="283" t="s">
        <v>761</v>
      </c>
      <c r="BR20" s="284">
        <v>1.03</v>
      </c>
      <c r="BS20" s="278"/>
      <c r="BT20" s="295"/>
      <c r="BV20" s="283" t="s">
        <v>761</v>
      </c>
      <c r="BW20" s="284">
        <v>1.03</v>
      </c>
      <c r="BX20" s="278"/>
      <c r="BY20" s="295"/>
      <c r="CA20" s="283" t="s">
        <v>761</v>
      </c>
      <c r="CB20" s="284">
        <v>1.03</v>
      </c>
      <c r="CC20" s="278"/>
      <c r="CD20" s="295"/>
      <c r="CF20" s="283" t="s">
        <v>761</v>
      </c>
      <c r="CG20" s="284">
        <v>1.03</v>
      </c>
      <c r="CH20" s="278"/>
      <c r="CI20" s="295"/>
      <c r="CK20" s="283" t="s">
        <v>761</v>
      </c>
      <c r="CL20" s="284">
        <v>1.03</v>
      </c>
      <c r="CM20" s="278"/>
      <c r="CN20" s="295"/>
      <c r="CP20" s="283" t="s">
        <v>761</v>
      </c>
      <c r="CQ20" s="284">
        <v>1.03</v>
      </c>
      <c r="CR20" s="278"/>
      <c r="CS20" s="295"/>
      <c r="CU20" s="283" t="s">
        <v>761</v>
      </c>
      <c r="CV20" s="284">
        <v>1.03</v>
      </c>
      <c r="CW20" s="278"/>
      <c r="CX20" s="295"/>
      <c r="CZ20" s="283" t="s">
        <v>761</v>
      </c>
      <c r="DA20" s="284">
        <v>1.03</v>
      </c>
      <c r="DB20" s="278"/>
      <c r="DC20" s="295"/>
    </row>
    <row r="21" spans="1:107" x14ac:dyDescent="0.15">
      <c r="B21" s="566"/>
      <c r="C21" s="570" t="str">
        <f>IF(AND(D21="",F21=""),"",IF(F21="",D21,F21))</f>
        <v/>
      </c>
      <c r="D21" s="571"/>
      <c r="E21" s="571"/>
      <c r="F21" s="575"/>
      <c r="G21" s="297"/>
      <c r="M21" s="275"/>
      <c r="N21" s="258"/>
      <c r="O21" s="258"/>
      <c r="P21" s="276"/>
      <c r="R21" s="275"/>
      <c r="S21" s="258"/>
      <c r="T21" s="258"/>
      <c r="U21" s="276"/>
      <c r="W21" s="275"/>
      <c r="Z21" s="276"/>
      <c r="AB21" s="275"/>
      <c r="AE21" s="276"/>
      <c r="AG21" s="275"/>
      <c r="AJ21" s="276"/>
      <c r="AL21" s="275"/>
      <c r="AO21" s="276"/>
      <c r="AQ21" s="275"/>
      <c r="AT21" s="276"/>
      <c r="AV21" s="275"/>
      <c r="AY21" s="276"/>
      <c r="BA21" s="275"/>
      <c r="BD21" s="276"/>
      <c r="BF21" s="275"/>
      <c r="BI21" s="276"/>
      <c r="BL21" s="275"/>
      <c r="BO21" s="276"/>
      <c r="BQ21" s="275"/>
      <c r="BT21" s="276"/>
      <c r="BV21" s="275"/>
      <c r="BY21" s="276"/>
      <c r="CA21" s="275"/>
      <c r="CD21" s="276"/>
      <c r="CF21" s="275"/>
      <c r="CI21" s="276"/>
      <c r="CK21" s="275"/>
      <c r="CN21" s="276"/>
      <c r="CP21" s="275"/>
      <c r="CS21" s="276"/>
      <c r="CU21" s="275"/>
      <c r="CX21" s="276"/>
      <c r="CZ21" s="275"/>
      <c r="DC21" s="276"/>
    </row>
    <row r="22" spans="1:107" ht="16" x14ac:dyDescent="0.2">
      <c r="A22" s="272"/>
      <c r="B22" s="591" t="s">
        <v>771</v>
      </c>
      <c r="C22" s="563"/>
      <c r="D22" s="564" t="str">
        <f>IF(INDEX(22:22,$F$2)="","", INDEX(22:22, $F$2))</f>
        <v/>
      </c>
      <c r="E22" s="564"/>
      <c r="F22" s="565"/>
      <c r="G22" s="277"/>
      <c r="H22" s="273"/>
      <c r="M22" s="285" t="s">
        <v>771</v>
      </c>
      <c r="N22" s="284"/>
      <c r="O22" s="278"/>
      <c r="P22" s="282"/>
      <c r="Q22" s="278"/>
      <c r="R22" s="285" t="s">
        <v>771</v>
      </c>
      <c r="S22" s="284"/>
      <c r="T22" s="278"/>
      <c r="U22" s="282"/>
      <c r="W22" s="285" t="s">
        <v>771</v>
      </c>
      <c r="X22" s="284"/>
      <c r="Y22" s="278"/>
      <c r="Z22" s="282"/>
      <c r="AB22" s="285" t="s">
        <v>771</v>
      </c>
      <c r="AC22" s="284"/>
      <c r="AD22" s="278"/>
      <c r="AE22" s="282"/>
      <c r="AF22" s="278"/>
      <c r="AG22" s="285" t="s">
        <v>771</v>
      </c>
      <c r="AH22" s="284"/>
      <c r="AI22" s="278"/>
      <c r="AJ22" s="282"/>
      <c r="AL22" s="285" t="s">
        <v>771</v>
      </c>
      <c r="AM22" s="284"/>
      <c r="AN22" s="278"/>
      <c r="AO22" s="282"/>
      <c r="AQ22" s="285" t="s">
        <v>771</v>
      </c>
      <c r="AR22" s="284"/>
      <c r="AS22" s="278"/>
      <c r="AT22" s="282"/>
      <c r="AV22" s="285" t="s">
        <v>771</v>
      </c>
      <c r="AW22" s="284"/>
      <c r="AX22" s="278"/>
      <c r="AY22" s="282"/>
      <c r="AZ22" s="278"/>
      <c r="BA22" s="285" t="s">
        <v>771</v>
      </c>
      <c r="BB22" s="284"/>
      <c r="BC22" s="278"/>
      <c r="BD22" s="282"/>
      <c r="BF22" s="285" t="s">
        <v>771</v>
      </c>
      <c r="BG22" s="284"/>
      <c r="BH22" s="278"/>
      <c r="BI22" s="282"/>
      <c r="BJ22" s="278"/>
      <c r="BL22" s="285" t="s">
        <v>771</v>
      </c>
      <c r="BM22" s="284"/>
      <c r="BN22" s="278"/>
      <c r="BO22" s="282"/>
      <c r="BQ22" s="285" t="s">
        <v>771</v>
      </c>
      <c r="BR22" s="284"/>
      <c r="BS22" s="278"/>
      <c r="BT22" s="282"/>
      <c r="BV22" s="285" t="s">
        <v>771</v>
      </c>
      <c r="BW22" s="284"/>
      <c r="BX22" s="278"/>
      <c r="BY22" s="282"/>
      <c r="CA22" s="285" t="s">
        <v>771</v>
      </c>
      <c r="CB22" s="284"/>
      <c r="CC22" s="278"/>
      <c r="CD22" s="282"/>
      <c r="CF22" s="285" t="s">
        <v>771</v>
      </c>
      <c r="CG22" s="284"/>
      <c r="CH22" s="278"/>
      <c r="CI22" s="282"/>
      <c r="CK22" s="285" t="s">
        <v>771</v>
      </c>
      <c r="CL22" s="284"/>
      <c r="CM22" s="278"/>
      <c r="CN22" s="282"/>
      <c r="CP22" s="285" t="s">
        <v>771</v>
      </c>
      <c r="CQ22" s="284"/>
      <c r="CR22" s="278"/>
      <c r="CS22" s="282"/>
      <c r="CU22" s="285" t="s">
        <v>771</v>
      </c>
      <c r="CV22" s="284"/>
      <c r="CW22" s="278"/>
      <c r="CX22" s="282"/>
      <c r="CZ22" s="285" t="s">
        <v>771</v>
      </c>
      <c r="DA22" s="284"/>
      <c r="DB22" s="278"/>
      <c r="DC22" s="282"/>
    </row>
    <row r="23" spans="1:107" x14ac:dyDescent="0.15">
      <c r="A23" s="272"/>
      <c r="B23" s="569" t="s">
        <v>772</v>
      </c>
      <c r="C23" s="1134">
        <f>IF(NOT(Dashboard!E16=""),Dashboard!E16,IF(AND(D23="",F23=""),"",IF(F23="",D23+E23,F23)))</f>
        <v>35</v>
      </c>
      <c r="D23" s="564">
        <f>IF(INDEX(23:23,$F$2)="","", INDEX(23:23, $F$2))</f>
        <v>35</v>
      </c>
      <c r="E23" s="1106"/>
      <c r="F23" s="565"/>
      <c r="G23" s="293"/>
      <c r="H23" s="273"/>
      <c r="M23" s="283" t="s">
        <v>773</v>
      </c>
      <c r="N23" s="294">
        <v>35</v>
      </c>
      <c r="O23" s="278"/>
      <c r="P23" s="295"/>
      <c r="Q23" s="296"/>
      <c r="R23" s="283" t="s">
        <v>773</v>
      </c>
      <c r="S23" s="294">
        <v>25</v>
      </c>
      <c r="T23" s="278"/>
      <c r="U23" s="295"/>
      <c r="W23" s="283" t="s">
        <v>773</v>
      </c>
      <c r="X23" s="294">
        <v>35</v>
      </c>
      <c r="Y23" s="278"/>
      <c r="Z23" s="295"/>
      <c r="AB23" s="283" t="s">
        <v>773</v>
      </c>
      <c r="AC23" s="294">
        <v>25</v>
      </c>
      <c r="AD23" s="278"/>
      <c r="AE23" s="295"/>
      <c r="AF23" s="296"/>
      <c r="AG23" s="283" t="s">
        <v>773</v>
      </c>
      <c r="AH23" s="294">
        <v>35</v>
      </c>
      <c r="AI23" s="278"/>
      <c r="AJ23" s="295"/>
      <c r="AL23" s="283" t="s">
        <v>773</v>
      </c>
      <c r="AM23" s="294">
        <v>25</v>
      </c>
      <c r="AN23" s="278"/>
      <c r="AO23" s="295"/>
      <c r="AQ23" s="283" t="s">
        <v>773</v>
      </c>
      <c r="AR23" s="294">
        <v>35</v>
      </c>
      <c r="AS23" s="278"/>
      <c r="AT23" s="295"/>
      <c r="AV23" s="283" t="s">
        <v>773</v>
      </c>
      <c r="AW23" s="294">
        <v>25</v>
      </c>
      <c r="AX23" s="278"/>
      <c r="AY23" s="295"/>
      <c r="AZ23" s="296"/>
      <c r="BA23" s="283" t="s">
        <v>773</v>
      </c>
      <c r="BB23" s="294">
        <v>35</v>
      </c>
      <c r="BC23" s="278"/>
      <c r="BD23" s="295"/>
      <c r="BF23" s="283" t="s">
        <v>773</v>
      </c>
      <c r="BG23" s="294">
        <v>25</v>
      </c>
      <c r="BH23" s="278"/>
      <c r="BI23" s="295"/>
      <c r="BJ23" s="296"/>
      <c r="BL23" s="283" t="s">
        <v>773</v>
      </c>
      <c r="BM23" s="294">
        <v>35</v>
      </c>
      <c r="BN23" s="278"/>
      <c r="BO23" s="295"/>
      <c r="BQ23" s="283" t="s">
        <v>773</v>
      </c>
      <c r="BR23" s="294">
        <v>25</v>
      </c>
      <c r="BS23" s="278"/>
      <c r="BT23" s="295"/>
      <c r="BV23" s="283" t="s">
        <v>773</v>
      </c>
      <c r="BW23" s="294">
        <v>35</v>
      </c>
      <c r="BX23" s="278"/>
      <c r="BY23" s="295"/>
      <c r="CA23" s="283" t="s">
        <v>773</v>
      </c>
      <c r="CB23" s="294">
        <v>25</v>
      </c>
      <c r="CC23" s="278"/>
      <c r="CD23" s="295"/>
      <c r="CF23" s="283" t="s">
        <v>773</v>
      </c>
      <c r="CG23" s="294">
        <v>35</v>
      </c>
      <c r="CH23" s="278"/>
      <c r="CI23" s="295"/>
      <c r="CK23" s="283" t="s">
        <v>773</v>
      </c>
      <c r="CL23" s="294">
        <v>25</v>
      </c>
      <c r="CM23" s="278"/>
      <c r="CN23" s="295"/>
      <c r="CP23" s="283" t="s">
        <v>773</v>
      </c>
      <c r="CQ23" s="284" cm="1">
        <f t="array" ref="CQ23">INDEX(23:23, $CS$10)*$CS$8 + INDEX(23:23, $CS$11)*(1-$CS$8)</f>
        <v>25</v>
      </c>
      <c r="CR23" s="278"/>
      <c r="CS23" s="295"/>
      <c r="CU23" s="283" t="s">
        <v>773</v>
      </c>
      <c r="CV23" s="294">
        <v>35</v>
      </c>
      <c r="CW23" s="278"/>
      <c r="CX23" s="295"/>
      <c r="CZ23" s="283" t="s">
        <v>773</v>
      </c>
      <c r="DA23" s="294">
        <v>25</v>
      </c>
      <c r="DB23" s="278"/>
      <c r="DC23" s="295"/>
    </row>
    <row r="24" spans="1:107" x14ac:dyDescent="0.15">
      <c r="A24" s="272"/>
      <c r="B24" s="567" t="s">
        <v>774</v>
      </c>
      <c r="C24" s="1135">
        <f>IF(AND(D24="",F24=""),"",IF(F24="",D24,F24))</f>
        <v>1</v>
      </c>
      <c r="D24" s="564" cm="1">
        <f t="array" ref="D24" xml:space="preserve"> INDEX(24:24, $F$2)</f>
        <v>1</v>
      </c>
      <c r="E24" s="564"/>
      <c r="F24"/>
      <c r="G24" s="293"/>
      <c r="H24" s="828"/>
      <c r="M24" s="289" t="s">
        <v>775</v>
      </c>
      <c r="N24" s="294">
        <v>1</v>
      </c>
      <c r="O24" s="278"/>
      <c r="P24" s="295"/>
      <c r="Q24" s="296"/>
      <c r="R24" s="289" t="s">
        <v>775</v>
      </c>
      <c r="S24" s="294">
        <v>2</v>
      </c>
      <c r="T24" s="278"/>
      <c r="U24" s="295"/>
      <c r="W24" s="289" t="s">
        <v>775</v>
      </c>
      <c r="X24" s="294">
        <v>1</v>
      </c>
      <c r="Y24" s="278"/>
      <c r="Z24" s="295"/>
      <c r="AB24" s="289" t="s">
        <v>775</v>
      </c>
      <c r="AC24" s="294">
        <v>2</v>
      </c>
      <c r="AD24" s="278"/>
      <c r="AE24" s="295"/>
      <c r="AF24" s="296"/>
      <c r="AG24" s="289" t="s">
        <v>775</v>
      </c>
      <c r="AH24" s="294">
        <v>1</v>
      </c>
      <c r="AI24" s="278"/>
      <c r="AJ24" s="295"/>
      <c r="AL24" s="289" t="s">
        <v>775</v>
      </c>
      <c r="AM24" s="294">
        <v>2</v>
      </c>
      <c r="AN24" s="278"/>
      <c r="AO24" s="295"/>
      <c r="AQ24" s="289" t="s">
        <v>775</v>
      </c>
      <c r="AR24" s="294">
        <v>1</v>
      </c>
      <c r="AS24" s="278"/>
      <c r="AT24" s="295"/>
      <c r="AV24" s="289" t="s">
        <v>775</v>
      </c>
      <c r="AW24" s="294">
        <v>2</v>
      </c>
      <c r="AX24" s="278"/>
      <c r="AY24" s="295"/>
      <c r="AZ24" s="296"/>
      <c r="BA24" s="289" t="s">
        <v>775</v>
      </c>
      <c r="BB24" s="294">
        <v>1</v>
      </c>
      <c r="BC24" s="278"/>
      <c r="BD24" s="295"/>
      <c r="BF24" s="289" t="s">
        <v>775</v>
      </c>
      <c r="BG24" s="294">
        <v>2</v>
      </c>
      <c r="BH24" s="278"/>
      <c r="BI24" s="295"/>
      <c r="BJ24" s="296"/>
      <c r="BL24" s="289" t="s">
        <v>775</v>
      </c>
      <c r="BM24" s="541">
        <v>1</v>
      </c>
      <c r="BN24" s="278"/>
      <c r="BO24" s="295"/>
      <c r="BQ24" s="289" t="s">
        <v>775</v>
      </c>
      <c r="BR24" s="541">
        <v>2</v>
      </c>
      <c r="BS24" s="278"/>
      <c r="BT24" s="295"/>
      <c r="BV24" s="289" t="s">
        <v>775</v>
      </c>
      <c r="BW24" s="541">
        <v>0.25</v>
      </c>
      <c r="BX24" s="278"/>
      <c r="BY24" s="295"/>
      <c r="CA24" s="289" t="s">
        <v>775</v>
      </c>
      <c r="CB24" s="541">
        <v>0.5</v>
      </c>
      <c r="CC24" s="278"/>
      <c r="CD24" s="295"/>
      <c r="CF24" s="289" t="s">
        <v>775</v>
      </c>
      <c r="CG24" s="541">
        <v>1</v>
      </c>
      <c r="CH24" s="278"/>
      <c r="CI24" s="295"/>
      <c r="CK24" s="289" t="s">
        <v>775</v>
      </c>
      <c r="CL24" s="541">
        <v>2</v>
      </c>
      <c r="CM24" s="278"/>
      <c r="CN24" s="295"/>
      <c r="CP24" s="289" t="s">
        <v>775</v>
      </c>
      <c r="CQ24" s="281" cm="1">
        <f t="array" ref="CQ24">INDEX(24:24, $CS$10)*$CS$8 + INDEX(24:24, $CS$11)*(1-$CS$8)</f>
        <v>2</v>
      </c>
      <c r="CR24" s="278"/>
      <c r="CS24" s="295"/>
      <c r="CU24" s="289" t="s">
        <v>775</v>
      </c>
      <c r="CV24" s="541">
        <v>1</v>
      </c>
      <c r="CW24" s="278"/>
      <c r="CX24" s="295"/>
      <c r="CZ24" s="289" t="s">
        <v>775</v>
      </c>
      <c r="DA24" s="541">
        <v>2</v>
      </c>
      <c r="DB24" s="278"/>
      <c r="DC24" s="295"/>
    </row>
    <row r="25" spans="1:107" ht="15" x14ac:dyDescent="0.15">
      <c r="A25" s="272"/>
      <c r="B25" s="569" t="s">
        <v>776</v>
      </c>
      <c r="C25" s="1136">
        <f>IF(AND(D25="",F25=""),"",IF(F25="",D25+E25,F25))</f>
        <v>16747.98253653073</v>
      </c>
      <c r="D25" s="751">
        <f>IF(INDEX(25:25,$F$2)="","", INDEX(25:25, $F$2))</f>
        <v>16747.98253653073</v>
      </c>
      <c r="E25" s="1109"/>
      <c r="F25" s="565"/>
      <c r="G25" s="297"/>
      <c r="H25" s="273"/>
      <c r="M25" s="283" t="s">
        <v>777</v>
      </c>
      <c r="N25" s="298">
        <f>3*(1-N23/100)/(N24*10^-4)*(N11/N17)/(N11/N17 + N12/N18 + N13/N19)</f>
        <v>16747.98253653073</v>
      </c>
      <c r="O25" s="299"/>
      <c r="P25" s="276"/>
      <c r="R25" s="283" t="s">
        <v>777</v>
      </c>
      <c r="S25" s="298">
        <f>3*(1-S23/100)/(S24*10^-4)*(S11/S17)/(S11/S17 + S12/S18 + S13/S19)</f>
        <v>10155.135902194084</v>
      </c>
      <c r="T25" s="299"/>
      <c r="U25" s="276"/>
      <c r="W25" s="283" t="s">
        <v>777</v>
      </c>
      <c r="X25" s="298">
        <f>3*(1-X23/100)/(X24*10^-4)*(X11/X17)/(X11/X17 + X12/X18 + X13/X19)</f>
        <v>16747.98253653073</v>
      </c>
      <c r="Y25" s="299"/>
      <c r="Z25" s="276"/>
      <c r="AB25" s="283" t="s">
        <v>777</v>
      </c>
      <c r="AC25" s="298">
        <f>3*(1-AC23/100)/(AC24*10^-4)*(AC11/AC17)/(AC11/AC17 + AC12/AC18 + AC13/AC19)</f>
        <v>10155.135902194084</v>
      </c>
      <c r="AD25" s="299"/>
      <c r="AE25" s="276"/>
      <c r="AG25" s="283" t="s">
        <v>777</v>
      </c>
      <c r="AH25" s="298">
        <f>3*(1-AH23/100)/(AH24*10^-4)*(AH11/AH17)/(AH11/AH17 + AH12/AH18 + AH13/AH19)</f>
        <v>16747.98253653073</v>
      </c>
      <c r="AI25" s="299"/>
      <c r="AJ25" s="276"/>
      <c r="AL25" s="283" t="s">
        <v>777</v>
      </c>
      <c r="AM25" s="298">
        <f>3*(1-AM23/100)/(AM24*10^-4)*(AM11/AM17)/(AM11/AM17 + AM12/AM18 + AM13/AM19)</f>
        <v>10155.135902194084</v>
      </c>
      <c r="AN25" s="299"/>
      <c r="AO25" s="276"/>
      <c r="AQ25" s="283" t="s">
        <v>777</v>
      </c>
      <c r="AR25" s="298">
        <f>3*(1-AR23/100)/(AR24*10^-4)*(AR11/AR17)/(AR11/AR17 + AR12/AR18 + AR13/AR19)</f>
        <v>16747.98253653073</v>
      </c>
      <c r="AS25" s="299"/>
      <c r="AT25" s="276"/>
      <c r="AV25" s="283" t="s">
        <v>777</v>
      </c>
      <c r="AW25" s="298">
        <f>3*(1-AW23/100)/(AW24*10^-4)*(AW11/AW17)/(AW11/AW17 + AW12/AW18 + AW13/AW19)</f>
        <v>10155.135902194084</v>
      </c>
      <c r="AX25" s="299"/>
      <c r="AY25" s="276"/>
      <c r="BA25" s="283" t="s">
        <v>777</v>
      </c>
      <c r="BB25" s="298">
        <f>3*(1-BB23/100)/(BB24*10^-4)*(BB11/BB17)/(BB11/BB17 + BB12/BB18 + BB13/BB19)</f>
        <v>16747.98253653073</v>
      </c>
      <c r="BC25" s="299"/>
      <c r="BD25" s="276"/>
      <c r="BF25" s="283" t="s">
        <v>777</v>
      </c>
      <c r="BG25" s="298">
        <f>3*(1-BG23/100)/(BG24*10^-4)*(BG11/BG17)/(BG11/BG17 + BG12/BG18 + BG13/BG19)</f>
        <v>10155.135902194084</v>
      </c>
      <c r="BH25" s="299"/>
      <c r="BI25" s="276"/>
      <c r="BL25" s="283" t="s">
        <v>777</v>
      </c>
      <c r="BM25" s="298">
        <f>3*(1-BM23/100)/(BM24*10^-4)*(BM11/BM17)/(BM11/BM17 + BM12/BM18 + BM13/BM19)</f>
        <v>16682.162318567822</v>
      </c>
      <c r="BN25" s="299"/>
      <c r="BO25" s="276"/>
      <c r="BQ25" s="283" t="s">
        <v>777</v>
      </c>
      <c r="BR25" s="298">
        <f>3*(1-BR23/100)/(BR24*10^-4)*(BR11/BR17)/(BR11/BR17 + BR12/BR18 + BR13/BR19)</f>
        <v>10127.58068720785</v>
      </c>
      <c r="BS25" s="299"/>
      <c r="BT25" s="276"/>
      <c r="BV25" s="283" t="s">
        <v>777</v>
      </c>
      <c r="BW25" s="298">
        <f>3*(1-BW23/100)/(BW24*10^-4)*(BW11/BW17)/(BW11/BW17 + BW12/BW18 + BW13/BW19)</f>
        <v>69524.023812459258</v>
      </c>
      <c r="BX25" s="299"/>
      <c r="BY25" s="276"/>
      <c r="CA25" s="283" t="s">
        <v>777</v>
      </c>
      <c r="CB25" s="298">
        <f>3*(1-CB23/100)/(CB24*10^-4)*(CB11/CB17)/(CB11/CB17 + CB12/CB18 + CB13/CB19)</f>
        <v>41667.017507714772</v>
      </c>
      <c r="CC25" s="299"/>
      <c r="CD25" s="276"/>
      <c r="CF25" s="283" t="s">
        <v>777</v>
      </c>
      <c r="CG25" s="298">
        <f>3*(1-CG23/100)/(CG24*10^-4)*(CG11/CG17)/(CG11/CG17 + CG12/CG18 + CG13/CG19)</f>
        <v>16964.228003554981</v>
      </c>
      <c r="CH25" s="299"/>
      <c r="CI25" s="276"/>
      <c r="CK25" s="283" t="s">
        <v>777</v>
      </c>
      <c r="CL25" s="298">
        <f>3*(1-CL23/100)/(CL24*10^-4)*(CL11/CL17)/(CL11/CL17 + CL12/CL18 + CL13/CL19)</f>
        <v>10245.194302675014</v>
      </c>
      <c r="CM25" s="299"/>
      <c r="CN25" s="276"/>
      <c r="CP25" s="283" t="s">
        <v>777</v>
      </c>
      <c r="CQ25" s="298">
        <f>3*(1-CQ23/100)/(CQ24*10^-4)*(CQ11/CQ17)/(CQ11/CQ17 + CQ12/CQ18 + CQ13/CQ19)</f>
        <v>10199.966318507628</v>
      </c>
      <c r="CR25" s="299"/>
      <c r="CS25" s="276"/>
      <c r="CU25" s="283" t="s">
        <v>777</v>
      </c>
      <c r="CV25" s="298">
        <f>3*(1-CV23/100)/(CV24*10^-4)*(CV11/CV17)/(CV11/CV17 + CV12/CV18 + CV13/CV19)</f>
        <v>16964.228003554981</v>
      </c>
      <c r="CW25" s="299"/>
      <c r="CX25" s="276"/>
      <c r="CZ25" s="283" t="s">
        <v>777</v>
      </c>
      <c r="DA25" s="298">
        <f>3*(1-DA23/100)/(DA24*10^-4)*(DA11/DA17)/(DA11/DA17 + DA12/DA18 + DA13/DA19)</f>
        <v>10245.194302675014</v>
      </c>
      <c r="DB25" s="299"/>
      <c r="DC25" s="276"/>
    </row>
    <row r="26" spans="1:107" ht="18" x14ac:dyDescent="0.25">
      <c r="A26" s="272"/>
      <c r="B26" s="569" t="s">
        <v>778</v>
      </c>
      <c r="C26" s="1105">
        <f>1/(C136/10000)/C25/(C141/1000*96485/8.314/298.15)*((1-C135*C138/C70)*(1-C138/C143)^2)^-0.5</f>
        <v>0.60000000000000009</v>
      </c>
      <c r="D26" s="564">
        <f>IF(INDEX(26:26,$F$2)="","", INDEX(26:26, $F$2))</f>
        <v>0.6</v>
      </c>
      <c r="E26" s="1106"/>
      <c r="F26" s="565"/>
      <c r="G26" s="293"/>
      <c r="H26" s="273"/>
      <c r="M26" s="283" t="s">
        <v>779</v>
      </c>
      <c r="N26" s="541">
        <v>0.6</v>
      </c>
      <c r="O26" s="278"/>
      <c r="P26" s="295"/>
      <c r="Q26" s="296"/>
      <c r="R26" s="283" t="s">
        <v>779</v>
      </c>
      <c r="S26" s="541">
        <v>0.6</v>
      </c>
      <c r="T26" s="278"/>
      <c r="U26" s="295"/>
      <c r="W26" s="283" t="s">
        <v>779</v>
      </c>
      <c r="X26" s="541">
        <v>0.6</v>
      </c>
      <c r="Y26" s="278"/>
      <c r="Z26" s="295"/>
      <c r="AB26" s="283" t="s">
        <v>779</v>
      </c>
      <c r="AC26" s="541">
        <v>0.6</v>
      </c>
      <c r="AD26" s="278"/>
      <c r="AE26" s="295"/>
      <c r="AF26" s="296"/>
      <c r="AG26" s="283" t="s">
        <v>779</v>
      </c>
      <c r="AH26" s="541">
        <v>0.6</v>
      </c>
      <c r="AI26" s="278"/>
      <c r="AJ26" s="295"/>
      <c r="AL26" s="283" t="s">
        <v>779</v>
      </c>
      <c r="AM26" s="541">
        <v>0.6</v>
      </c>
      <c r="AN26" s="278"/>
      <c r="AO26" s="295"/>
      <c r="AQ26" s="283" t="s">
        <v>779</v>
      </c>
      <c r="AR26" s="541">
        <v>0.6</v>
      </c>
      <c r="AS26" s="278"/>
      <c r="AT26" s="295"/>
      <c r="AV26" s="283" t="s">
        <v>779</v>
      </c>
      <c r="AW26" s="541">
        <v>0.6</v>
      </c>
      <c r="AX26" s="278"/>
      <c r="AY26" s="295"/>
      <c r="AZ26" s="296"/>
      <c r="BA26" s="283" t="s">
        <v>779</v>
      </c>
      <c r="BB26" s="541">
        <v>0.6</v>
      </c>
      <c r="BC26" s="278"/>
      <c r="BD26" s="295"/>
      <c r="BF26" s="283" t="s">
        <v>779</v>
      </c>
      <c r="BG26" s="541">
        <v>0.6</v>
      </c>
      <c r="BH26" s="278"/>
      <c r="BI26" s="295"/>
      <c r="BJ26" s="296"/>
      <c r="BL26" s="283" t="s">
        <v>779</v>
      </c>
      <c r="BM26" s="541">
        <v>0.6</v>
      </c>
      <c r="BN26" s="278"/>
      <c r="BO26" s="295"/>
      <c r="BQ26" s="283" t="s">
        <v>779</v>
      </c>
      <c r="BR26" s="541">
        <v>0.6</v>
      </c>
      <c r="BS26" s="278"/>
      <c r="BT26" s="295"/>
      <c r="BV26" s="283" t="s">
        <v>779</v>
      </c>
      <c r="BW26" s="541">
        <v>1.2</v>
      </c>
      <c r="BX26" s="278"/>
      <c r="BY26" s="295"/>
      <c r="CA26" s="283" t="s">
        <v>779</v>
      </c>
      <c r="CB26" s="541">
        <v>1.2</v>
      </c>
      <c r="CC26" s="278"/>
      <c r="CD26" s="295"/>
      <c r="CF26" s="283" t="s">
        <v>779</v>
      </c>
      <c r="CG26" s="541">
        <v>0.6</v>
      </c>
      <c r="CH26" s="278"/>
      <c r="CI26" s="295"/>
      <c r="CK26" s="283" t="s">
        <v>779</v>
      </c>
      <c r="CL26" s="541">
        <v>0.6</v>
      </c>
      <c r="CM26" s="278"/>
      <c r="CN26" s="295"/>
      <c r="CP26" s="283" t="s">
        <v>779</v>
      </c>
      <c r="CQ26" s="284" cm="1">
        <f t="array" ref="CQ26">INDEX(26:26, $CS$10)*$CS$8 + INDEX(26:26, $CS$11)*(1-$CS$8)</f>
        <v>0.6</v>
      </c>
      <c r="CR26" s="278"/>
      <c r="CS26" s="295"/>
      <c r="CU26" s="283" t="s">
        <v>779</v>
      </c>
      <c r="CV26" s="541">
        <v>0.6</v>
      </c>
      <c r="CW26" s="278"/>
      <c r="CX26" s="295"/>
      <c r="CZ26" s="283" t="s">
        <v>779</v>
      </c>
      <c r="DA26" s="541">
        <v>0.6</v>
      </c>
      <c r="DB26" s="278"/>
      <c r="DC26" s="295"/>
    </row>
    <row r="27" spans="1:107" x14ac:dyDescent="0.15">
      <c r="A27" s="272"/>
      <c r="B27" s="569" t="s">
        <v>780</v>
      </c>
      <c r="C27" s="1136">
        <f>IF(NOT(Dashboard!E18=""),Dashboard!E18,IF(AND(D27="",F27=""),"",IF(F27="",D27,F27)))</f>
        <v>120</v>
      </c>
      <c r="D27" s="572">
        <v>120</v>
      </c>
      <c r="E27" s="572"/>
      <c r="F27" s="565"/>
      <c r="G27" s="293"/>
      <c r="H27" s="273"/>
      <c r="M27" s="283"/>
      <c r="N27" s="284"/>
      <c r="O27" s="278"/>
      <c r="P27" s="295"/>
      <c r="Q27" s="296"/>
      <c r="R27" s="283"/>
      <c r="S27" s="284"/>
      <c r="T27" s="278"/>
      <c r="U27" s="295"/>
      <c r="W27" s="283"/>
      <c r="X27" s="284"/>
      <c r="Y27" s="278"/>
      <c r="Z27" s="295"/>
      <c r="AB27" s="283"/>
      <c r="AC27" s="284"/>
      <c r="AD27" s="278"/>
      <c r="AE27" s="295"/>
      <c r="AF27" s="296"/>
      <c r="AG27" s="283"/>
      <c r="AH27" s="284"/>
      <c r="AI27" s="278"/>
      <c r="AJ27" s="295"/>
      <c r="AL27" s="283"/>
      <c r="AM27" s="284"/>
      <c r="AN27" s="278"/>
      <c r="AO27" s="295"/>
      <c r="AQ27" s="283"/>
      <c r="AR27" s="284"/>
      <c r="AS27" s="278"/>
      <c r="AT27" s="295"/>
      <c r="AV27" s="283"/>
      <c r="AW27" s="284"/>
      <c r="AX27" s="278"/>
      <c r="AY27" s="295"/>
      <c r="AZ27" s="296"/>
      <c r="BA27" s="283"/>
      <c r="BB27" s="284"/>
      <c r="BC27" s="278"/>
      <c r="BD27" s="295"/>
      <c r="BF27" s="283"/>
      <c r="BG27" s="284"/>
      <c r="BH27" s="278"/>
      <c r="BI27" s="295"/>
      <c r="BJ27" s="296"/>
      <c r="BL27" s="283"/>
      <c r="BM27" s="284"/>
      <c r="BN27" s="278"/>
      <c r="BO27" s="295"/>
      <c r="BQ27" s="283"/>
      <c r="BR27" s="284"/>
      <c r="BS27" s="278"/>
      <c r="BT27" s="295"/>
      <c r="BV27" s="283"/>
      <c r="BW27" s="284"/>
      <c r="BX27" s="278"/>
      <c r="BY27" s="295"/>
      <c r="CA27" s="283"/>
      <c r="CB27" s="284"/>
      <c r="CC27" s="278"/>
      <c r="CD27" s="295"/>
      <c r="CF27" s="283"/>
      <c r="CG27" s="284"/>
      <c r="CH27" s="278"/>
      <c r="CI27" s="295"/>
      <c r="CK27" s="283"/>
      <c r="CL27" s="284"/>
      <c r="CM27" s="278"/>
      <c r="CN27" s="295"/>
      <c r="CP27" s="283"/>
      <c r="CQ27" s="284"/>
      <c r="CR27" s="278"/>
      <c r="CS27" s="295"/>
      <c r="CU27" s="283"/>
      <c r="CV27" s="284"/>
      <c r="CW27" s="278"/>
      <c r="CX27" s="295"/>
      <c r="CZ27" s="283"/>
      <c r="DA27" s="284"/>
      <c r="DB27" s="278"/>
      <c r="DC27" s="295"/>
    </row>
    <row r="28" spans="1:107" x14ac:dyDescent="0.15">
      <c r="A28" s="272"/>
      <c r="B28" s="569" t="s">
        <v>781</v>
      </c>
      <c r="C28" s="1136">
        <f>IF(AND(D28="",F28=""),"",IF(F28="",D28,F28))</f>
        <v>15</v>
      </c>
      <c r="D28" s="572">
        <v>15</v>
      </c>
      <c r="E28" s="572"/>
      <c r="F28" s="565"/>
      <c r="G28" s="293"/>
      <c r="H28" s="273"/>
      <c r="M28" s="283"/>
      <c r="N28" s="284"/>
      <c r="O28" s="278"/>
      <c r="P28" s="295"/>
      <c r="Q28" s="296"/>
      <c r="R28" s="283"/>
      <c r="S28" s="284"/>
      <c r="T28" s="278"/>
      <c r="U28" s="295"/>
      <c r="W28" s="283"/>
      <c r="X28" s="284"/>
      <c r="Y28" s="278"/>
      <c r="Z28" s="295"/>
      <c r="AB28" s="283"/>
      <c r="AC28" s="284"/>
      <c r="AD28" s="278"/>
      <c r="AE28" s="295"/>
      <c r="AF28" s="296"/>
      <c r="AG28" s="283"/>
      <c r="AH28" s="284"/>
      <c r="AI28" s="278"/>
      <c r="AJ28" s="295"/>
      <c r="AL28" s="283"/>
      <c r="AM28" s="284"/>
      <c r="AN28" s="278"/>
      <c r="AO28" s="295"/>
      <c r="AQ28" s="283"/>
      <c r="AR28" s="284"/>
      <c r="AS28" s="278"/>
      <c r="AT28" s="295"/>
      <c r="AV28" s="283"/>
      <c r="AW28" s="284"/>
      <c r="AX28" s="278"/>
      <c r="AY28" s="295"/>
      <c r="AZ28" s="296"/>
      <c r="BA28" s="283"/>
      <c r="BB28" s="284"/>
      <c r="BC28" s="278"/>
      <c r="BD28" s="295"/>
      <c r="BF28" s="283"/>
      <c r="BG28" s="284"/>
      <c r="BH28" s="278"/>
      <c r="BI28" s="295"/>
      <c r="BJ28" s="296"/>
      <c r="BL28" s="283"/>
      <c r="BM28" s="284"/>
      <c r="BN28" s="278"/>
      <c r="BO28" s="295"/>
      <c r="BQ28" s="283"/>
      <c r="BR28" s="284"/>
      <c r="BS28" s="278"/>
      <c r="BT28" s="295"/>
      <c r="BV28" s="283"/>
      <c r="BW28" s="284"/>
      <c r="BX28" s="278"/>
      <c r="BY28" s="295"/>
      <c r="CA28" s="283"/>
      <c r="CB28" s="284"/>
      <c r="CC28" s="278"/>
      <c r="CD28" s="295"/>
      <c r="CF28" s="283"/>
      <c r="CG28" s="284"/>
      <c r="CH28" s="278"/>
      <c r="CI28" s="295"/>
      <c r="CK28" s="283"/>
      <c r="CL28" s="284"/>
      <c r="CM28" s="278"/>
      <c r="CN28" s="295"/>
      <c r="CP28" s="283"/>
      <c r="CQ28" s="284"/>
      <c r="CR28" s="278"/>
      <c r="CS28" s="295"/>
      <c r="CU28" s="283"/>
      <c r="CV28" s="284"/>
      <c r="CW28" s="278"/>
      <c r="CX28" s="295"/>
      <c r="CZ28" s="283"/>
      <c r="DA28" s="284"/>
      <c r="DB28" s="278"/>
      <c r="DC28" s="295"/>
    </row>
    <row r="29" spans="1:107" x14ac:dyDescent="0.15">
      <c r="A29" s="272"/>
      <c r="B29" s="569"/>
      <c r="C29" s="563"/>
      <c r="D29" s="572" t="str">
        <f>IF(INDEX(29:29,$F$2)="","", INDEX(29:29, $F$2))</f>
        <v/>
      </c>
      <c r="E29" s="572"/>
      <c r="F29" s="565"/>
      <c r="G29" s="293"/>
      <c r="H29" s="273"/>
      <c r="M29" s="285"/>
      <c r="N29" s="294"/>
      <c r="O29" s="278"/>
      <c r="P29" s="295"/>
      <c r="Q29" s="296"/>
      <c r="R29" s="285"/>
      <c r="S29" s="294"/>
      <c r="T29" s="278"/>
      <c r="U29" s="295"/>
      <c r="W29" s="285"/>
      <c r="X29" s="294"/>
      <c r="Y29" s="278"/>
      <c r="Z29" s="295"/>
      <c r="AB29" s="285"/>
      <c r="AC29" s="294"/>
      <c r="AD29" s="278"/>
      <c r="AE29" s="295"/>
      <c r="AF29" s="296"/>
      <c r="AG29" s="285"/>
      <c r="AH29" s="294"/>
      <c r="AI29" s="278"/>
      <c r="AJ29" s="295"/>
      <c r="AL29" s="285"/>
      <c r="AM29" s="294"/>
      <c r="AN29" s="278"/>
      <c r="AO29" s="295"/>
      <c r="AQ29" s="285"/>
      <c r="AR29" s="294"/>
      <c r="AS29" s="278"/>
      <c r="AT29" s="295"/>
      <c r="AV29" s="285"/>
      <c r="AW29" s="294"/>
      <c r="AX29" s="278"/>
      <c r="AY29" s="295"/>
      <c r="AZ29" s="296"/>
      <c r="BA29" s="285"/>
      <c r="BB29" s="294"/>
      <c r="BC29" s="278"/>
      <c r="BD29" s="295"/>
      <c r="BF29" s="285"/>
      <c r="BG29" s="294"/>
      <c r="BH29" s="278"/>
      <c r="BI29" s="295"/>
      <c r="BJ29" s="296"/>
      <c r="BL29" s="285"/>
      <c r="BM29" s="294"/>
      <c r="BN29" s="278"/>
      <c r="BO29" s="295"/>
      <c r="BQ29" s="285"/>
      <c r="BR29" s="294"/>
      <c r="BS29" s="278"/>
      <c r="BT29" s="295"/>
      <c r="BV29" s="285"/>
      <c r="BW29" s="294"/>
      <c r="BX29" s="278"/>
      <c r="BY29" s="295"/>
      <c r="CA29" s="285"/>
      <c r="CB29" s="294"/>
      <c r="CC29" s="278"/>
      <c r="CD29" s="295"/>
      <c r="CF29" s="285"/>
      <c r="CG29" s="294"/>
      <c r="CH29" s="278"/>
      <c r="CI29" s="295"/>
      <c r="CK29" s="285"/>
      <c r="CL29" s="294"/>
      <c r="CM29" s="278"/>
      <c r="CN29" s="295"/>
      <c r="CP29" s="285"/>
      <c r="CQ29" s="284"/>
      <c r="CR29" s="278"/>
      <c r="CS29" s="295"/>
      <c r="CU29" s="285"/>
      <c r="CV29" s="294"/>
      <c r="CW29" s="278"/>
      <c r="CX29" s="295"/>
      <c r="CZ29" s="285"/>
      <c r="DA29" s="294"/>
      <c r="DB29" s="278"/>
      <c r="DC29" s="295"/>
    </row>
    <row r="30" spans="1:107" ht="16" x14ac:dyDescent="0.2">
      <c r="A30" s="272"/>
      <c r="B30" s="591" t="s">
        <v>782</v>
      </c>
      <c r="C30" s="570" t="str">
        <f>IF(AND(D30="",F30=""),"",IF(F30="",D30,F30))</f>
        <v/>
      </c>
      <c r="D30" s="571"/>
      <c r="E30" s="571"/>
      <c r="F30" s="565"/>
      <c r="G30" s="300"/>
      <c r="H30" s="273"/>
      <c r="M30" s="285" t="s">
        <v>782</v>
      </c>
      <c r="N30" s="246"/>
      <c r="O30" s="263"/>
      <c r="P30" s="302"/>
      <c r="Q30" s="268"/>
      <c r="R30" s="285" t="s">
        <v>782</v>
      </c>
      <c r="S30" s="246"/>
      <c r="T30" s="263"/>
      <c r="U30" s="302"/>
      <c r="W30" s="285" t="s">
        <v>782</v>
      </c>
      <c r="X30" s="246"/>
      <c r="Y30" s="263"/>
      <c r="Z30" s="302"/>
      <c r="AB30" s="285" t="s">
        <v>782</v>
      </c>
      <c r="AC30" s="246"/>
      <c r="AD30" s="263"/>
      <c r="AE30" s="302"/>
      <c r="AF30" s="268"/>
      <c r="AG30" s="285" t="s">
        <v>782</v>
      </c>
      <c r="AH30" s="246"/>
      <c r="AI30" s="263"/>
      <c r="AJ30" s="302"/>
      <c r="AL30" s="285" t="s">
        <v>782</v>
      </c>
      <c r="AM30" s="246"/>
      <c r="AN30" s="263"/>
      <c r="AO30" s="302"/>
      <c r="AQ30" s="285" t="s">
        <v>782</v>
      </c>
      <c r="AR30" s="246"/>
      <c r="AS30" s="263"/>
      <c r="AT30" s="302"/>
      <c r="AV30" s="285" t="s">
        <v>782</v>
      </c>
      <c r="AW30" s="246"/>
      <c r="AX30" s="263"/>
      <c r="AY30" s="302"/>
      <c r="AZ30" s="268"/>
      <c r="BA30" s="285" t="s">
        <v>782</v>
      </c>
      <c r="BB30" s="246"/>
      <c r="BC30" s="263"/>
      <c r="BD30" s="302"/>
      <c r="BF30" s="285" t="s">
        <v>782</v>
      </c>
      <c r="BG30" s="246"/>
      <c r="BH30" s="263"/>
      <c r="BI30" s="302"/>
      <c r="BJ30" s="268"/>
      <c r="BL30" s="285" t="s">
        <v>782</v>
      </c>
      <c r="BM30" s="246"/>
      <c r="BN30" s="263"/>
      <c r="BO30" s="302"/>
      <c r="BQ30" s="285" t="s">
        <v>782</v>
      </c>
      <c r="BR30" s="246"/>
      <c r="BS30" s="263"/>
      <c r="BT30" s="302"/>
      <c r="BV30" s="285" t="s">
        <v>782</v>
      </c>
      <c r="BW30" s="246"/>
      <c r="BX30" s="263"/>
      <c r="BY30" s="302"/>
      <c r="CA30" s="285" t="s">
        <v>782</v>
      </c>
      <c r="CB30" s="246"/>
      <c r="CC30" s="263"/>
      <c r="CD30" s="302"/>
      <c r="CF30" s="285" t="s">
        <v>782</v>
      </c>
      <c r="CG30" s="246"/>
      <c r="CH30" s="263"/>
      <c r="CI30" s="302"/>
      <c r="CK30" s="285" t="s">
        <v>782</v>
      </c>
      <c r="CL30" s="246"/>
      <c r="CM30" s="263"/>
      <c r="CN30" s="302"/>
      <c r="CP30" s="285" t="s">
        <v>782</v>
      </c>
      <c r="CQ30" s="246"/>
      <c r="CR30" s="263"/>
      <c r="CS30" s="302"/>
      <c r="CU30" s="285" t="s">
        <v>782</v>
      </c>
      <c r="CV30" s="246"/>
      <c r="CW30" s="263"/>
      <c r="CX30" s="302"/>
      <c r="CZ30" s="285" t="s">
        <v>782</v>
      </c>
      <c r="DA30" s="246"/>
      <c r="DB30" s="263"/>
      <c r="DC30" s="302"/>
    </row>
    <row r="31" spans="1:107" x14ac:dyDescent="0.15">
      <c r="A31" s="272" t="s">
        <v>352</v>
      </c>
      <c r="B31" s="569" t="s">
        <v>783</v>
      </c>
      <c r="C31" s="1136" t="str">
        <f>IF(AND(D31="",F31=""),"",IF(F31="",D31,F31))</f>
        <v>Aluminum</v>
      </c>
      <c r="D31" s="564" t="str">
        <f>IF(INDEX(31:31,$F$2)="","", INDEX(31:31, $F$2))</f>
        <v>Aluminum</v>
      </c>
      <c r="E31" s="564"/>
      <c r="F31" s="565"/>
      <c r="G31" s="297"/>
      <c r="H31" s="273"/>
      <c r="M31" s="283" t="s">
        <v>784</v>
      </c>
      <c r="N31" s="284" t="s">
        <v>785</v>
      </c>
      <c r="O31" s="299"/>
      <c r="P31" s="276"/>
      <c r="R31" s="283" t="s">
        <v>784</v>
      </c>
      <c r="S31" s="284" t="s">
        <v>785</v>
      </c>
      <c r="T31" s="299"/>
      <c r="U31" s="276"/>
      <c r="W31" s="283" t="s">
        <v>784</v>
      </c>
      <c r="X31" s="284" t="s">
        <v>785</v>
      </c>
      <c r="Y31" s="299"/>
      <c r="Z31" s="276"/>
      <c r="AB31" s="283" t="s">
        <v>784</v>
      </c>
      <c r="AC31" s="284" t="s">
        <v>785</v>
      </c>
      <c r="AD31" s="299"/>
      <c r="AE31" s="276"/>
      <c r="AG31" s="283" t="s">
        <v>784</v>
      </c>
      <c r="AH31" s="284" t="s">
        <v>785</v>
      </c>
      <c r="AI31" s="299"/>
      <c r="AJ31" s="276"/>
      <c r="AL31" s="283" t="s">
        <v>784</v>
      </c>
      <c r="AM31" s="284" t="s">
        <v>785</v>
      </c>
      <c r="AN31" s="299"/>
      <c r="AO31" s="276"/>
      <c r="AQ31" s="283" t="s">
        <v>784</v>
      </c>
      <c r="AR31" s="284" t="s">
        <v>785</v>
      </c>
      <c r="AS31" s="299"/>
      <c r="AT31" s="276"/>
      <c r="AV31" s="283" t="s">
        <v>784</v>
      </c>
      <c r="AW31" s="284" t="s">
        <v>785</v>
      </c>
      <c r="AX31" s="299"/>
      <c r="AY31" s="276"/>
      <c r="BA31" s="283" t="s">
        <v>784</v>
      </c>
      <c r="BB31" s="284" t="s">
        <v>785</v>
      </c>
      <c r="BC31" s="299"/>
      <c r="BD31" s="276"/>
      <c r="BF31" s="283" t="s">
        <v>784</v>
      </c>
      <c r="BG31" s="284" t="s">
        <v>785</v>
      </c>
      <c r="BH31" s="299"/>
      <c r="BI31" s="276"/>
      <c r="BL31" s="283" t="s">
        <v>784</v>
      </c>
      <c r="BM31" s="284" t="s">
        <v>785</v>
      </c>
      <c r="BN31" s="299"/>
      <c r="BO31" s="276"/>
      <c r="BQ31" s="283" t="s">
        <v>784</v>
      </c>
      <c r="BR31" s="284" t="s">
        <v>785</v>
      </c>
      <c r="BS31" s="299"/>
      <c r="BT31" s="276"/>
      <c r="BV31" s="283" t="s">
        <v>784</v>
      </c>
      <c r="BW31" s="284" t="s">
        <v>785</v>
      </c>
      <c r="BX31" s="299"/>
      <c r="BY31" s="276"/>
      <c r="CA31" s="283" t="s">
        <v>784</v>
      </c>
      <c r="CB31" s="284" t="s">
        <v>785</v>
      </c>
      <c r="CC31" s="299"/>
      <c r="CD31" s="276"/>
      <c r="CF31" s="283" t="s">
        <v>784</v>
      </c>
      <c r="CG31" s="284" t="s">
        <v>785</v>
      </c>
      <c r="CH31" s="299"/>
      <c r="CI31" s="276"/>
      <c r="CK31" s="283" t="s">
        <v>784</v>
      </c>
      <c r="CL31" s="284" t="s">
        <v>785</v>
      </c>
      <c r="CM31" s="299"/>
      <c r="CN31" s="276"/>
      <c r="CP31" s="283" t="s">
        <v>784</v>
      </c>
      <c r="CQ31" s="284" t="s">
        <v>785</v>
      </c>
      <c r="CR31" s="299"/>
      <c r="CS31" s="276"/>
      <c r="CU31" s="283" t="s">
        <v>784</v>
      </c>
      <c r="CV31" s="284" t="s">
        <v>785</v>
      </c>
      <c r="CW31" s="299"/>
      <c r="CX31" s="276"/>
      <c r="CZ31" s="283" t="s">
        <v>784</v>
      </c>
      <c r="DA31" s="284" t="s">
        <v>785</v>
      </c>
      <c r="DB31" s="299"/>
      <c r="DC31" s="276"/>
    </row>
    <row r="32" spans="1:107" ht="15" x14ac:dyDescent="0.2">
      <c r="A32" s="272" t="s">
        <v>352</v>
      </c>
      <c r="B32" s="569" t="s">
        <v>786</v>
      </c>
      <c r="C32" s="1136">
        <f>IF(NOT(Dashboard!E17=""),Dashboard!E17,IF(AND(D32="",F32=""),"",IF(F32="",D32,F32)))</f>
        <v>20</v>
      </c>
      <c r="D32" s="571">
        <f>IF(INDEX(32:32,$F$2)="","", INDEX(32:32, $F$2))</f>
        <v>20</v>
      </c>
      <c r="E32" s="571"/>
      <c r="F32" s="565"/>
      <c r="G32" s="297"/>
      <c r="H32" s="273"/>
      <c r="M32" s="283" t="s">
        <v>787</v>
      </c>
      <c r="N32" s="284">
        <v>20</v>
      </c>
      <c r="O32" s="299"/>
      <c r="P32" s="276"/>
      <c r="R32" s="283" t="s">
        <v>787</v>
      </c>
      <c r="S32" s="284">
        <v>15</v>
      </c>
      <c r="T32" s="299"/>
      <c r="U32" s="276"/>
      <c r="W32" s="283" t="s">
        <v>787</v>
      </c>
      <c r="X32" s="284">
        <v>20</v>
      </c>
      <c r="Y32" s="299"/>
      <c r="Z32" s="276"/>
      <c r="AB32" s="283" t="s">
        <v>787</v>
      </c>
      <c r="AC32" s="284">
        <v>15</v>
      </c>
      <c r="AD32" s="299"/>
      <c r="AE32" s="276"/>
      <c r="AG32" s="283" t="s">
        <v>787</v>
      </c>
      <c r="AH32" s="284">
        <v>20</v>
      </c>
      <c r="AI32" s="299"/>
      <c r="AJ32" s="276"/>
      <c r="AL32" s="283" t="s">
        <v>787</v>
      </c>
      <c r="AM32" s="284">
        <v>15</v>
      </c>
      <c r="AN32" s="299"/>
      <c r="AO32" s="276"/>
      <c r="AQ32" s="283" t="s">
        <v>787</v>
      </c>
      <c r="AR32" s="284">
        <v>20</v>
      </c>
      <c r="AS32" s="299"/>
      <c r="AT32" s="276"/>
      <c r="AV32" s="283" t="s">
        <v>787</v>
      </c>
      <c r="AW32" s="284">
        <v>15</v>
      </c>
      <c r="AX32" s="299"/>
      <c r="AY32" s="276"/>
      <c r="BA32" s="283" t="s">
        <v>787</v>
      </c>
      <c r="BB32" s="284">
        <v>20</v>
      </c>
      <c r="BC32" s="299"/>
      <c r="BD32" s="276"/>
      <c r="BF32" s="283" t="s">
        <v>787</v>
      </c>
      <c r="BG32" s="284">
        <v>15</v>
      </c>
      <c r="BH32" s="299"/>
      <c r="BI32" s="276"/>
      <c r="BL32" s="283" t="s">
        <v>787</v>
      </c>
      <c r="BM32" s="284">
        <v>20</v>
      </c>
      <c r="BN32" s="299"/>
      <c r="BO32" s="276"/>
      <c r="BQ32" s="283" t="s">
        <v>787</v>
      </c>
      <c r="BR32" s="284">
        <v>15</v>
      </c>
      <c r="BS32" s="299"/>
      <c r="BT32" s="276"/>
      <c r="BV32" s="283" t="s">
        <v>787</v>
      </c>
      <c r="BW32" s="284">
        <v>20</v>
      </c>
      <c r="BX32" s="299"/>
      <c r="BY32" s="276"/>
      <c r="CA32" s="283" t="s">
        <v>787</v>
      </c>
      <c r="CB32" s="284">
        <v>15</v>
      </c>
      <c r="CC32" s="299"/>
      <c r="CD32" s="276"/>
      <c r="CF32" s="283" t="s">
        <v>787</v>
      </c>
      <c r="CG32" s="284">
        <v>20</v>
      </c>
      <c r="CH32" s="299"/>
      <c r="CI32" s="276"/>
      <c r="CK32" s="283" t="s">
        <v>787</v>
      </c>
      <c r="CL32" s="284">
        <v>15</v>
      </c>
      <c r="CM32" s="299"/>
      <c r="CN32" s="276"/>
      <c r="CP32" s="283" t="s">
        <v>787</v>
      </c>
      <c r="CQ32" s="284" cm="1">
        <f t="array" ref="CQ32">INDEX(32:32, $CS$10)*$CS$8 + INDEX(32:32, $CS$11)*(1-$CS$8)</f>
        <v>15</v>
      </c>
      <c r="CR32" s="299"/>
      <c r="CS32" s="276"/>
      <c r="CU32" s="283" t="s">
        <v>787</v>
      </c>
      <c r="CV32" s="284">
        <v>20</v>
      </c>
      <c r="CW32" s="299"/>
      <c r="CX32" s="276"/>
      <c r="CZ32" s="283" t="s">
        <v>787</v>
      </c>
      <c r="DA32" s="284">
        <v>15</v>
      </c>
      <c r="DB32" s="299"/>
      <c r="DC32" s="276"/>
    </row>
    <row r="33" spans="1:107" ht="15" thickBot="1" x14ac:dyDescent="0.2">
      <c r="A33" s="272"/>
      <c r="B33" s="569"/>
      <c r="C33" s="563"/>
      <c r="D33" s="564"/>
      <c r="E33" s="564"/>
      <c r="F33" s="565"/>
      <c r="G33" s="297"/>
      <c r="H33" s="273"/>
      <c r="M33" s="283"/>
      <c r="N33" s="284"/>
      <c r="O33" s="299"/>
      <c r="P33" s="276"/>
      <c r="R33" s="283"/>
      <c r="S33" s="284"/>
      <c r="T33" s="299"/>
      <c r="U33" s="276"/>
      <c r="W33" s="283"/>
      <c r="X33" s="284"/>
      <c r="Y33" s="299"/>
      <c r="Z33" s="276"/>
      <c r="AB33" s="283"/>
      <c r="AC33" s="284"/>
      <c r="AD33" s="299"/>
      <c r="AE33" s="276"/>
      <c r="AG33" s="283"/>
      <c r="AH33" s="284"/>
      <c r="AI33" s="299"/>
      <c r="AJ33" s="276"/>
      <c r="AL33" s="283"/>
      <c r="AM33" s="284"/>
      <c r="AN33" s="299"/>
      <c r="AO33" s="276"/>
      <c r="AQ33" s="283"/>
      <c r="AR33" s="284"/>
      <c r="AS33" s="299"/>
      <c r="AT33" s="276"/>
      <c r="AV33" s="283"/>
      <c r="AW33" s="284"/>
      <c r="AX33" s="299"/>
      <c r="AY33" s="276"/>
      <c r="BA33" s="283"/>
      <c r="BB33" s="284"/>
      <c r="BC33" s="299"/>
      <c r="BD33" s="276"/>
      <c r="BF33" s="283"/>
      <c r="BG33" s="284"/>
      <c r="BH33" s="299"/>
      <c r="BI33" s="276"/>
      <c r="BL33" s="283"/>
      <c r="BM33" s="284"/>
      <c r="BN33" s="299"/>
      <c r="BO33" s="276"/>
      <c r="BQ33" s="283"/>
      <c r="BR33" s="284"/>
      <c r="BS33" s="299"/>
      <c r="BT33" s="276"/>
      <c r="BV33" s="283"/>
      <c r="BW33" s="284"/>
      <c r="BX33" s="299"/>
      <c r="BY33" s="276"/>
      <c r="CA33" s="283"/>
      <c r="CB33" s="284"/>
      <c r="CC33" s="299"/>
      <c r="CD33" s="276"/>
      <c r="CF33" s="283"/>
      <c r="CG33" s="284"/>
      <c r="CH33" s="299"/>
      <c r="CI33" s="276"/>
      <c r="CK33" s="283"/>
      <c r="CL33" s="284"/>
      <c r="CM33" s="299"/>
      <c r="CN33" s="276"/>
      <c r="CP33" s="283"/>
      <c r="CQ33" s="284"/>
      <c r="CR33" s="299"/>
      <c r="CS33" s="276"/>
      <c r="CU33" s="283"/>
      <c r="CV33" s="284"/>
      <c r="CW33" s="299"/>
      <c r="CX33" s="276"/>
      <c r="CZ33" s="283"/>
      <c r="DA33" s="284"/>
      <c r="DB33" s="299"/>
      <c r="DC33" s="276"/>
    </row>
    <row r="34" spans="1:107" ht="19" thickBot="1" x14ac:dyDescent="0.25">
      <c r="A34" s="272"/>
      <c r="B34" s="440" t="s">
        <v>325</v>
      </c>
      <c r="C34" s="577"/>
      <c r="D34" s="577"/>
      <c r="E34" s="577"/>
      <c r="F34" s="577"/>
      <c r="G34" s="439"/>
      <c r="H34" s="273"/>
      <c r="M34" s="301"/>
      <c r="N34" s="284"/>
      <c r="O34" s="278"/>
      <c r="P34" s="295"/>
      <c r="Q34" s="296"/>
      <c r="R34" s="301"/>
      <c r="S34" s="284"/>
      <c r="T34" s="278"/>
      <c r="U34" s="295"/>
      <c r="W34" s="301"/>
      <c r="X34" s="284"/>
      <c r="Y34" s="278"/>
      <c r="Z34" s="295"/>
      <c r="AB34" s="301"/>
      <c r="AC34" s="284"/>
      <c r="AD34" s="278"/>
      <c r="AE34" s="295"/>
      <c r="AF34" s="296"/>
      <c r="AG34" s="301"/>
      <c r="AH34" s="284"/>
      <c r="AI34" s="278"/>
      <c r="AJ34" s="295"/>
      <c r="AL34" s="301"/>
      <c r="AM34" s="284"/>
      <c r="AN34" s="278"/>
      <c r="AO34" s="295"/>
      <c r="AQ34" s="301"/>
      <c r="AR34" s="284"/>
      <c r="AS34" s="278"/>
      <c r="AT34" s="295"/>
      <c r="AV34" s="301"/>
      <c r="AW34" s="284"/>
      <c r="AX34" s="278"/>
      <c r="AY34" s="295"/>
      <c r="AZ34" s="296"/>
      <c r="BA34" s="301"/>
      <c r="BB34" s="284"/>
      <c r="BC34" s="278"/>
      <c r="BD34" s="295"/>
      <c r="BF34" s="301"/>
      <c r="BG34" s="284"/>
      <c r="BH34" s="278"/>
      <c r="BI34" s="295"/>
      <c r="BJ34" s="296"/>
      <c r="BL34" s="301"/>
      <c r="BM34" s="284"/>
      <c r="BN34" s="278"/>
      <c r="BO34" s="295"/>
      <c r="BQ34" s="301"/>
      <c r="BR34" s="284"/>
      <c r="BS34" s="278"/>
      <c r="BT34" s="295"/>
      <c r="BV34" s="301"/>
      <c r="BW34" s="284"/>
      <c r="BX34" s="278"/>
      <c r="BY34" s="295"/>
      <c r="CA34" s="301"/>
      <c r="CB34" s="284"/>
      <c r="CC34" s="278"/>
      <c r="CD34" s="295"/>
      <c r="CF34" s="301"/>
      <c r="CG34" s="284"/>
      <c r="CH34" s="278"/>
      <c r="CI34" s="295"/>
      <c r="CK34" s="301"/>
      <c r="CL34" s="284"/>
      <c r="CM34" s="278"/>
      <c r="CN34" s="295"/>
      <c r="CP34" s="301"/>
      <c r="CQ34" s="284"/>
      <c r="CR34" s="278"/>
      <c r="CS34" s="295"/>
      <c r="CU34" s="301"/>
      <c r="CV34" s="284"/>
      <c r="CW34" s="278"/>
      <c r="CX34" s="295"/>
      <c r="CZ34" s="301"/>
      <c r="DA34" s="284"/>
      <c r="DB34" s="278"/>
      <c r="DC34" s="295"/>
    </row>
    <row r="35" spans="1:107" x14ac:dyDescent="0.15">
      <c r="A35" s="272"/>
      <c r="B35" s="576"/>
      <c r="C35" s="563"/>
      <c r="D35"/>
      <c r="E35"/>
      <c r="F35" s="8"/>
      <c r="G35" s="293"/>
      <c r="H35" s="273"/>
      <c r="M35" s="301"/>
      <c r="N35" s="284"/>
      <c r="O35" s="278"/>
      <c r="P35" s="295"/>
      <c r="Q35" s="296"/>
      <c r="R35" s="301"/>
      <c r="S35" s="284"/>
      <c r="T35" s="278"/>
      <c r="U35" s="295"/>
      <c r="W35" s="301"/>
      <c r="X35" s="284"/>
      <c r="Y35" s="278"/>
      <c r="Z35" s="295"/>
      <c r="AB35" s="301"/>
      <c r="AC35" s="284"/>
      <c r="AD35" s="278"/>
      <c r="AE35" s="295"/>
      <c r="AF35" s="296"/>
      <c r="AG35" s="301"/>
      <c r="AH35" s="284"/>
      <c r="AI35" s="278"/>
      <c r="AJ35" s="295"/>
      <c r="AL35" s="301"/>
      <c r="AM35" s="284"/>
      <c r="AN35" s="278"/>
      <c r="AO35" s="295"/>
      <c r="AQ35" s="301"/>
      <c r="AR35" s="284"/>
      <c r="AS35" s="278"/>
      <c r="AT35" s="295"/>
      <c r="AV35" s="301"/>
      <c r="AW35" s="284"/>
      <c r="AX35" s="278"/>
      <c r="AY35" s="295"/>
      <c r="AZ35" s="296"/>
      <c r="BA35" s="301"/>
      <c r="BB35" s="284"/>
      <c r="BC35" s="278"/>
      <c r="BD35" s="295"/>
      <c r="BF35" s="301"/>
      <c r="BG35" s="284"/>
      <c r="BH35" s="278"/>
      <c r="BI35" s="295"/>
      <c r="BJ35" s="296"/>
      <c r="BL35" s="301"/>
      <c r="BM35" s="284"/>
      <c r="BN35" s="278"/>
      <c r="BO35" s="295"/>
      <c r="BQ35" s="301"/>
      <c r="BR35" s="284"/>
      <c r="BS35" s="278"/>
      <c r="BT35" s="295"/>
      <c r="BV35" s="301"/>
      <c r="BW35" s="284"/>
      <c r="BX35" s="278"/>
      <c r="BY35" s="295"/>
      <c r="CA35" s="301"/>
      <c r="CB35" s="284"/>
      <c r="CC35" s="278"/>
      <c r="CD35" s="295"/>
      <c r="CF35" s="301"/>
      <c r="CG35" s="284"/>
      <c r="CH35" s="278"/>
      <c r="CI35" s="295"/>
      <c r="CK35" s="301"/>
      <c r="CL35" s="284"/>
      <c r="CM35" s="278"/>
      <c r="CN35" s="295"/>
      <c r="CP35" s="301"/>
      <c r="CQ35" s="284"/>
      <c r="CR35" s="278"/>
      <c r="CS35" s="295"/>
      <c r="CU35" s="301"/>
      <c r="CV35" s="284"/>
      <c r="CW35" s="278"/>
      <c r="CX35" s="295"/>
      <c r="CZ35" s="301"/>
      <c r="DA35" s="284"/>
      <c r="DB35" s="278"/>
      <c r="DC35" s="295"/>
    </row>
    <row r="36" spans="1:107" ht="16" x14ac:dyDescent="0.2">
      <c r="A36" s="272"/>
      <c r="B36" s="592" t="s">
        <v>788</v>
      </c>
      <c r="C36" s="1133" t="str">
        <f>IF(Dashboard!D28 = "No", D36, Lists!O142)</f>
        <v>G</v>
      </c>
      <c r="D36" s="564" t="str">
        <f>IF(INDEX(36:36,$F$2)="","", INDEX(36:36, $F$2))</f>
        <v>G</v>
      </c>
      <c r="E36" s="564" t="str">
        <f>IF(Dashboard!D28="No", "", )</f>
        <v/>
      </c>
      <c r="F36" s="565"/>
      <c r="G36" s="297"/>
      <c r="H36" s="273"/>
      <c r="M36" s="283" t="s">
        <v>735</v>
      </c>
      <c r="N36" s="284" t="s">
        <v>295</v>
      </c>
      <c r="O36" s="258"/>
      <c r="P36" s="276"/>
      <c r="R36" s="283" t="s">
        <v>735</v>
      </c>
      <c r="S36" s="284" t="s">
        <v>295</v>
      </c>
      <c r="T36" s="258"/>
      <c r="U36" s="276"/>
      <c r="W36" s="283" t="s">
        <v>735</v>
      </c>
      <c r="X36" s="284" t="s">
        <v>295</v>
      </c>
      <c r="Z36" s="276"/>
      <c r="AB36" s="283" t="s">
        <v>735</v>
      </c>
      <c r="AC36" s="284" t="s">
        <v>295</v>
      </c>
      <c r="AE36" s="276"/>
      <c r="AG36" s="283" t="s">
        <v>735</v>
      </c>
      <c r="AH36" s="284" t="s">
        <v>295</v>
      </c>
      <c r="AJ36" s="276"/>
      <c r="AL36" s="283" t="s">
        <v>735</v>
      </c>
      <c r="AM36" s="284" t="s">
        <v>295</v>
      </c>
      <c r="AO36" s="276"/>
      <c r="AQ36" s="283" t="s">
        <v>735</v>
      </c>
      <c r="AR36" s="284" t="s">
        <v>295</v>
      </c>
      <c r="AT36" s="276"/>
      <c r="AV36" s="283" t="s">
        <v>735</v>
      </c>
      <c r="AW36" s="284" t="s">
        <v>295</v>
      </c>
      <c r="AY36" s="276"/>
      <c r="BA36" s="283" t="s">
        <v>735</v>
      </c>
      <c r="BB36" s="284" t="s">
        <v>295</v>
      </c>
      <c r="BD36" s="276"/>
      <c r="BF36" s="283" t="s">
        <v>735</v>
      </c>
      <c r="BG36" s="284" t="s">
        <v>295</v>
      </c>
      <c r="BI36" s="276"/>
      <c r="BL36" s="283" t="s">
        <v>735</v>
      </c>
      <c r="BM36" s="284" t="s">
        <v>295</v>
      </c>
      <c r="BO36" s="276"/>
      <c r="BQ36" s="283" t="s">
        <v>735</v>
      </c>
      <c r="BR36" s="284" t="s">
        <v>295</v>
      </c>
      <c r="BT36" s="276"/>
      <c r="BV36" s="283" t="s">
        <v>735</v>
      </c>
      <c r="BW36" s="284" t="s">
        <v>295</v>
      </c>
      <c r="BY36" s="276"/>
      <c r="CA36" s="283" t="s">
        <v>735</v>
      </c>
      <c r="CB36" s="284" t="s">
        <v>295</v>
      </c>
      <c r="CD36" s="276"/>
      <c r="CF36" s="283" t="s">
        <v>735</v>
      </c>
      <c r="CG36" s="284" t="s">
        <v>295</v>
      </c>
      <c r="CI36" s="276"/>
      <c r="CK36" s="283" t="s">
        <v>735</v>
      </c>
      <c r="CL36" s="284" t="s">
        <v>295</v>
      </c>
      <c r="CN36" s="276"/>
      <c r="CP36" s="283" t="s">
        <v>735</v>
      </c>
      <c r="CQ36" s="284" t="str" cm="1">
        <f t="array" ref="CQ36">IF(INDEX(36:36, $CS$10) = INDEX(36:36, $CS$11), INDEX(36:36, $CS$10), "N/A")</f>
        <v>G</v>
      </c>
      <c r="CS36" s="276"/>
      <c r="CU36" s="283" t="s">
        <v>735</v>
      </c>
      <c r="CV36" s="284" t="s">
        <v>789</v>
      </c>
      <c r="CX36" s="276"/>
      <c r="CZ36" s="283" t="s">
        <v>735</v>
      </c>
      <c r="DA36" s="284" t="s">
        <v>789</v>
      </c>
      <c r="DC36" s="276"/>
    </row>
    <row r="37" spans="1:107" x14ac:dyDescent="0.15">
      <c r="A37" s="272"/>
      <c r="B37" s="569" t="s">
        <v>373</v>
      </c>
      <c r="C37" s="1133">
        <f>IF(NOT(Dashboard!E22=""),Dashboard!E22,IF(AND(D37="",F37=""),"",IF(F37="",D37+E37,F37)))</f>
        <v>1.1000000000000001</v>
      </c>
      <c r="D37" s="564">
        <f>IF(INDEX(37:37,$F$2)="","", INDEX(37:37, $F$2))</f>
        <v>1.1000000000000001</v>
      </c>
      <c r="E37" s="1106"/>
      <c r="F37" s="565"/>
      <c r="G37" s="297"/>
      <c r="H37" s="273"/>
      <c r="M37" s="283" t="s">
        <v>39</v>
      </c>
      <c r="N37" s="284">
        <v>1.1000000000000001</v>
      </c>
      <c r="O37" s="258"/>
      <c r="P37" s="276"/>
      <c r="R37" s="283" t="s">
        <v>39</v>
      </c>
      <c r="S37" s="284">
        <v>1.1000000000000001</v>
      </c>
      <c r="T37" s="258"/>
      <c r="U37" s="276"/>
      <c r="W37" s="283" t="s">
        <v>39</v>
      </c>
      <c r="X37" s="284">
        <v>1.1000000000000001</v>
      </c>
      <c r="Z37" s="276"/>
      <c r="AB37" s="283" t="s">
        <v>39</v>
      </c>
      <c r="AC37" s="284">
        <v>1.1000000000000001</v>
      </c>
      <c r="AE37" s="276"/>
      <c r="AG37" s="283" t="s">
        <v>39</v>
      </c>
      <c r="AH37" s="284">
        <v>1.1000000000000001</v>
      </c>
      <c r="AJ37" s="276"/>
      <c r="AL37" s="283" t="s">
        <v>39</v>
      </c>
      <c r="AM37" s="284">
        <v>1.1000000000000001</v>
      </c>
      <c r="AO37" s="276"/>
      <c r="AQ37" s="283" t="s">
        <v>39</v>
      </c>
      <c r="AR37" s="284">
        <v>1.1000000000000001</v>
      </c>
      <c r="AT37" s="276"/>
      <c r="AV37" s="283" t="s">
        <v>39</v>
      </c>
      <c r="AW37" s="284">
        <v>1.1000000000000001</v>
      </c>
      <c r="AY37" s="276"/>
      <c r="BA37" s="283" t="s">
        <v>39</v>
      </c>
      <c r="BB37" s="284">
        <v>1.1000000000000001</v>
      </c>
      <c r="BD37" s="276"/>
      <c r="BF37" s="283" t="s">
        <v>39</v>
      </c>
      <c r="BG37" s="284">
        <v>1.1000000000000001</v>
      </c>
      <c r="BI37" s="276"/>
      <c r="BL37" s="283" t="s">
        <v>39</v>
      </c>
      <c r="BM37" s="284">
        <v>1.1000000000000001</v>
      </c>
      <c r="BO37" s="276"/>
      <c r="BQ37" s="283" t="s">
        <v>39</v>
      </c>
      <c r="BR37" s="284">
        <v>1.1000000000000001</v>
      </c>
      <c r="BT37" s="276"/>
      <c r="BV37" s="283" t="s">
        <v>39</v>
      </c>
      <c r="BW37" s="284">
        <v>1.1000000000000001</v>
      </c>
      <c r="BY37" s="276"/>
      <c r="CA37" s="283" t="s">
        <v>39</v>
      </c>
      <c r="CB37" s="284">
        <v>1.1000000000000001</v>
      </c>
      <c r="CD37" s="276"/>
      <c r="CF37" s="283" t="s">
        <v>39</v>
      </c>
      <c r="CG37" s="284">
        <v>1.1000000000000001</v>
      </c>
      <c r="CI37" s="276"/>
      <c r="CK37" s="283" t="s">
        <v>39</v>
      </c>
      <c r="CL37" s="284">
        <v>1.1000000000000001</v>
      </c>
      <c r="CN37" s="276"/>
      <c r="CP37" s="283" t="s">
        <v>39</v>
      </c>
      <c r="CQ37" s="284">
        <v>1.1000000000000001</v>
      </c>
      <c r="CS37" s="276"/>
      <c r="CU37" s="283" t="s">
        <v>39</v>
      </c>
      <c r="CV37" s="284">
        <v>1.02</v>
      </c>
      <c r="CX37" s="276"/>
      <c r="CZ37" s="283" t="s">
        <v>39</v>
      </c>
      <c r="DA37" s="284">
        <v>1.02</v>
      </c>
      <c r="DC37" s="276"/>
    </row>
    <row r="38" spans="1:107" x14ac:dyDescent="0.15">
      <c r="A38" s="272"/>
      <c r="B38" s="566" t="s">
        <v>790</v>
      </c>
      <c r="C38" s="1136">
        <f>IF(SUM(C41:C43) = 100, IF(NOT(Dashboard!E21=""),Dashboard!E21,IF(AND(D38="",F38=""),"",IF(F38="",D38+E38,F38))), NA())</f>
        <v>360.4</v>
      </c>
      <c r="D38" s="568">
        <f>IF(INDEX(38:38,$F$2)="","", INDEX(38:38, $F$2))</f>
        <v>360.4</v>
      </c>
      <c r="E38" s="1110">
        <f>Lists!O143</f>
        <v>0</v>
      </c>
      <c r="F38" s="565"/>
      <c r="G38" s="297"/>
      <c r="H38" s="273"/>
      <c r="M38" s="275" t="s">
        <v>746</v>
      </c>
      <c r="N38" s="284">
        <v>360.4</v>
      </c>
      <c r="O38" s="258"/>
      <c r="P38" s="276"/>
      <c r="R38" s="275" t="s">
        <v>746</v>
      </c>
      <c r="S38" s="284">
        <v>360.4</v>
      </c>
      <c r="T38" s="258"/>
      <c r="U38" s="276"/>
      <c r="W38" s="275" t="s">
        <v>746</v>
      </c>
      <c r="X38" s="284">
        <v>360.4</v>
      </c>
      <c r="Z38" s="276"/>
      <c r="AB38" s="275" t="s">
        <v>746</v>
      </c>
      <c r="AC38" s="284">
        <v>360.4</v>
      </c>
      <c r="AE38" s="276"/>
      <c r="AG38" s="275" t="s">
        <v>746</v>
      </c>
      <c r="AH38" s="284">
        <v>360.4</v>
      </c>
      <c r="AJ38" s="276"/>
      <c r="AL38" s="275" t="s">
        <v>746</v>
      </c>
      <c r="AM38" s="284">
        <v>360.4</v>
      </c>
      <c r="AO38" s="276"/>
      <c r="AQ38" s="275" t="s">
        <v>746</v>
      </c>
      <c r="AR38" s="284">
        <v>360.4</v>
      </c>
      <c r="AT38" s="276"/>
      <c r="AV38" s="275" t="s">
        <v>746</v>
      </c>
      <c r="AW38" s="284">
        <v>360.4</v>
      </c>
      <c r="AY38" s="276"/>
      <c r="BA38" s="275" t="s">
        <v>746</v>
      </c>
      <c r="BB38" s="284">
        <v>360.4</v>
      </c>
      <c r="BD38" s="276"/>
      <c r="BF38" s="275" t="s">
        <v>746</v>
      </c>
      <c r="BG38" s="284">
        <v>360.4</v>
      </c>
      <c r="BI38" s="276"/>
      <c r="BL38" s="275" t="s">
        <v>746</v>
      </c>
      <c r="BM38" s="284">
        <v>360.4</v>
      </c>
      <c r="BO38" s="276"/>
      <c r="BQ38" s="275" t="s">
        <v>746</v>
      </c>
      <c r="BR38" s="284">
        <v>360.4</v>
      </c>
      <c r="BT38" s="276"/>
      <c r="BV38" s="275" t="s">
        <v>746</v>
      </c>
      <c r="BW38" s="284">
        <v>360.4</v>
      </c>
      <c r="BY38" s="276"/>
      <c r="CA38" s="275" t="s">
        <v>746</v>
      </c>
      <c r="CB38" s="284">
        <v>360.4</v>
      </c>
      <c r="CD38" s="276"/>
      <c r="CF38" s="275" t="s">
        <v>746</v>
      </c>
      <c r="CG38" s="284">
        <v>360.4</v>
      </c>
      <c r="CI38" s="276"/>
      <c r="CK38" s="275" t="s">
        <v>746</v>
      </c>
      <c r="CL38" s="284">
        <v>360.4</v>
      </c>
      <c r="CN38" s="276"/>
      <c r="CP38" s="275" t="s">
        <v>746</v>
      </c>
      <c r="CQ38" s="284">
        <v>360.4</v>
      </c>
      <c r="CS38" s="276"/>
      <c r="CU38" s="275" t="s">
        <v>746</v>
      </c>
      <c r="CV38" s="284">
        <v>164.8</v>
      </c>
      <c r="CX38" s="276"/>
      <c r="CZ38" s="275" t="s">
        <v>746</v>
      </c>
      <c r="DA38" s="284">
        <v>164.8</v>
      </c>
      <c r="DC38" s="276"/>
    </row>
    <row r="39" spans="1:107" x14ac:dyDescent="0.15">
      <c r="A39" s="272"/>
      <c r="B39" s="566"/>
      <c r="C39" s="574"/>
      <c r="D39" s="571"/>
      <c r="E39" s="571"/>
      <c r="F39" s="565"/>
      <c r="G39" s="297"/>
      <c r="H39" s="273"/>
      <c r="M39" s="275"/>
      <c r="N39" s="284"/>
      <c r="O39" s="258"/>
      <c r="P39" s="276"/>
      <c r="R39" s="275"/>
      <c r="S39" s="284"/>
      <c r="T39" s="258"/>
      <c r="U39" s="276"/>
      <c r="W39" s="275"/>
      <c r="X39" s="284"/>
      <c r="Z39" s="276"/>
      <c r="AB39" s="275"/>
      <c r="AC39" s="284"/>
      <c r="AE39" s="276"/>
      <c r="AG39" s="275"/>
      <c r="AH39" s="284"/>
      <c r="AJ39" s="276"/>
      <c r="AL39" s="275"/>
      <c r="AM39" s="284"/>
      <c r="AO39" s="276"/>
      <c r="AQ39" s="275"/>
      <c r="AR39" s="284"/>
      <c r="AT39" s="276"/>
      <c r="AV39" s="275"/>
      <c r="AW39" s="284"/>
      <c r="AY39" s="276"/>
      <c r="BA39" s="275"/>
      <c r="BB39" s="284"/>
      <c r="BD39" s="276"/>
      <c r="BF39" s="275"/>
      <c r="BG39" s="284"/>
      <c r="BI39" s="276"/>
      <c r="BL39" s="275"/>
      <c r="BM39" s="284"/>
      <c r="BO39" s="276"/>
      <c r="BQ39" s="275"/>
      <c r="BR39" s="284"/>
      <c r="BT39" s="276"/>
      <c r="BV39" s="275"/>
      <c r="BW39" s="284"/>
      <c r="BY39" s="276"/>
      <c r="CA39" s="275"/>
      <c r="CB39" s="284"/>
      <c r="CD39" s="276"/>
      <c r="CF39" s="275"/>
      <c r="CG39" s="284"/>
      <c r="CI39" s="276"/>
      <c r="CK39" s="275"/>
      <c r="CL39" s="284"/>
      <c r="CN39" s="276"/>
      <c r="CP39" s="275"/>
      <c r="CQ39" s="284"/>
      <c r="CS39" s="276"/>
      <c r="CU39" s="275"/>
      <c r="CV39" s="284"/>
      <c r="CX39" s="276"/>
      <c r="CZ39" s="275"/>
      <c r="DA39" s="284"/>
      <c r="DC39" s="276"/>
    </row>
    <row r="40" spans="1:107" ht="16" x14ac:dyDescent="0.2">
      <c r="A40" s="272"/>
      <c r="B40" s="592" t="s">
        <v>791</v>
      </c>
      <c r="C40" s="563"/>
      <c r="D40" s="563" t="str">
        <f>IF(ISERROR(C38)," Sum of % must add to 100", "")</f>
        <v/>
      </c>
      <c r="E40" s="563"/>
      <c r="F40" s="565"/>
      <c r="G40" s="297"/>
      <c r="H40" s="273"/>
      <c r="M40" s="285" t="s">
        <v>792</v>
      </c>
      <c r="N40" s="246"/>
      <c r="O40" s="258"/>
      <c r="P40" s="276"/>
      <c r="R40" s="285" t="s">
        <v>792</v>
      </c>
      <c r="S40" s="246"/>
      <c r="T40" s="258"/>
      <c r="U40" s="276"/>
      <c r="W40" s="285" t="s">
        <v>792</v>
      </c>
      <c r="X40" s="246"/>
      <c r="Z40" s="276"/>
      <c r="AB40" s="285" t="s">
        <v>792</v>
      </c>
      <c r="AC40" s="246"/>
      <c r="AE40" s="276"/>
      <c r="AG40" s="285" t="s">
        <v>792</v>
      </c>
      <c r="AH40" s="246"/>
      <c r="AJ40" s="276"/>
      <c r="AL40" s="285" t="s">
        <v>792</v>
      </c>
      <c r="AM40" s="246"/>
      <c r="AO40" s="276"/>
      <c r="AQ40" s="285" t="s">
        <v>792</v>
      </c>
      <c r="AR40" s="246"/>
      <c r="AT40" s="276"/>
      <c r="AV40" s="285" t="s">
        <v>792</v>
      </c>
      <c r="AW40" s="246"/>
      <c r="AY40" s="276"/>
      <c r="BA40" s="285" t="s">
        <v>792</v>
      </c>
      <c r="BB40" s="246"/>
      <c r="BD40" s="276"/>
      <c r="BF40" s="285" t="s">
        <v>792</v>
      </c>
      <c r="BG40" s="246"/>
      <c r="BI40" s="276"/>
      <c r="BL40" s="285" t="s">
        <v>792</v>
      </c>
      <c r="BM40" s="246"/>
      <c r="BO40" s="276"/>
      <c r="BQ40" s="285" t="s">
        <v>792</v>
      </c>
      <c r="BR40" s="246"/>
      <c r="BT40" s="276"/>
      <c r="BV40" s="285" t="s">
        <v>792</v>
      </c>
      <c r="BW40" s="246"/>
      <c r="BY40" s="276"/>
      <c r="CA40" s="285" t="s">
        <v>792</v>
      </c>
      <c r="CB40" s="246"/>
      <c r="CD40" s="276"/>
      <c r="CF40" s="285" t="s">
        <v>792</v>
      </c>
      <c r="CG40" s="246"/>
      <c r="CI40" s="276"/>
      <c r="CK40" s="285" t="s">
        <v>792</v>
      </c>
      <c r="CL40" s="246"/>
      <c r="CN40" s="276"/>
      <c r="CP40" s="285" t="s">
        <v>792</v>
      </c>
      <c r="CQ40" s="246"/>
      <c r="CS40" s="276"/>
      <c r="CU40" s="285" t="s">
        <v>792</v>
      </c>
      <c r="CV40" s="246"/>
      <c r="CX40" s="276"/>
      <c r="CZ40" s="285" t="s">
        <v>792</v>
      </c>
      <c r="DA40" s="246"/>
      <c r="DC40" s="276"/>
    </row>
    <row r="41" spans="1:107" x14ac:dyDescent="0.15">
      <c r="A41" s="272"/>
      <c r="B41" s="567" t="s">
        <v>793</v>
      </c>
      <c r="C41" s="1134">
        <f>IF(AND(D41="",F41=""),"",IF(F41="",D41+E41,F41))</f>
        <v>96</v>
      </c>
      <c r="D41" s="568">
        <f>IF(INDEX(41:41,$F$2)="","", INDEX(41:41, $F$2))</f>
        <v>96</v>
      </c>
      <c r="E41" s="1107"/>
      <c r="F41" s="565"/>
      <c r="G41" s="288"/>
      <c r="H41" s="73"/>
      <c r="M41" s="289" t="s">
        <v>753</v>
      </c>
      <c r="N41" s="303">
        <v>96</v>
      </c>
      <c r="O41" s="258"/>
      <c r="P41" s="290"/>
      <c r="Q41" s="291"/>
      <c r="R41" s="289" t="s">
        <v>753</v>
      </c>
      <c r="S41" s="303">
        <v>98</v>
      </c>
      <c r="T41" s="258"/>
      <c r="U41" s="290"/>
      <c r="W41" s="289" t="s">
        <v>753</v>
      </c>
      <c r="X41" s="303">
        <v>96</v>
      </c>
      <c r="Z41" s="290"/>
      <c r="AB41" s="289" t="s">
        <v>753</v>
      </c>
      <c r="AC41" s="303">
        <v>98</v>
      </c>
      <c r="AE41" s="290"/>
      <c r="AF41" s="291"/>
      <c r="AG41" s="289" t="s">
        <v>753</v>
      </c>
      <c r="AH41" s="303">
        <v>96</v>
      </c>
      <c r="AJ41" s="290"/>
      <c r="AL41" s="289" t="s">
        <v>753</v>
      </c>
      <c r="AM41" s="303">
        <v>98</v>
      </c>
      <c r="AO41" s="290"/>
      <c r="AQ41" s="289" t="s">
        <v>753</v>
      </c>
      <c r="AR41" s="303">
        <v>96</v>
      </c>
      <c r="AT41" s="290"/>
      <c r="AV41" s="289" t="s">
        <v>753</v>
      </c>
      <c r="AW41" s="303">
        <v>98</v>
      </c>
      <c r="AY41" s="290"/>
      <c r="AZ41" s="291"/>
      <c r="BA41" s="289" t="s">
        <v>753</v>
      </c>
      <c r="BB41" s="303">
        <v>96</v>
      </c>
      <c r="BD41" s="290"/>
      <c r="BF41" s="289" t="s">
        <v>753</v>
      </c>
      <c r="BG41" s="303">
        <v>98</v>
      </c>
      <c r="BI41" s="290"/>
      <c r="BJ41" s="291"/>
      <c r="BL41" s="289" t="s">
        <v>753</v>
      </c>
      <c r="BM41" s="303">
        <v>96</v>
      </c>
      <c r="BO41" s="290"/>
      <c r="BQ41" s="289" t="s">
        <v>753</v>
      </c>
      <c r="BR41" s="303">
        <v>98</v>
      </c>
      <c r="BT41" s="290"/>
      <c r="BV41" s="289" t="s">
        <v>753</v>
      </c>
      <c r="BW41" s="303">
        <v>96</v>
      </c>
      <c r="BY41" s="290"/>
      <c r="CA41" s="289" t="s">
        <v>753</v>
      </c>
      <c r="CB41" s="303">
        <v>98</v>
      </c>
      <c r="CD41" s="290"/>
      <c r="CF41" s="289" t="s">
        <v>753</v>
      </c>
      <c r="CG41" s="303">
        <v>96</v>
      </c>
      <c r="CI41" s="290"/>
      <c r="CK41" s="289" t="s">
        <v>753</v>
      </c>
      <c r="CL41" s="303">
        <v>98</v>
      </c>
      <c r="CN41" s="290"/>
      <c r="CP41" s="289" t="s">
        <v>753</v>
      </c>
      <c r="CQ41" s="303">
        <v>96</v>
      </c>
      <c r="CS41" s="290"/>
      <c r="CU41" s="289" t="s">
        <v>753</v>
      </c>
      <c r="CV41" s="303">
        <v>94</v>
      </c>
      <c r="CW41" s="737"/>
      <c r="CX41" s="290"/>
      <c r="CZ41" s="289" t="s">
        <v>753</v>
      </c>
      <c r="DA41" s="303">
        <v>96</v>
      </c>
      <c r="DB41" s="737"/>
      <c r="DC41" s="290"/>
    </row>
    <row r="42" spans="1:107" x14ac:dyDescent="0.15">
      <c r="A42" s="272"/>
      <c r="B42" s="567" t="s">
        <v>794</v>
      </c>
      <c r="C42" s="1134">
        <f>IF(AND(D42="",F42=""),"",IF(F42="",D42+E42,F42))</f>
        <v>2</v>
      </c>
      <c r="D42" s="568">
        <f>IF(INDEX(42:42,$F$2)="","", INDEX(42:42, $F$2))</f>
        <v>2</v>
      </c>
      <c r="E42" s="1107"/>
      <c r="F42" s="565"/>
      <c r="G42" s="288"/>
      <c r="H42" s="273"/>
      <c r="M42" s="283" t="s">
        <v>756</v>
      </c>
      <c r="N42" s="303">
        <v>2</v>
      </c>
      <c r="O42" s="258"/>
      <c r="P42" s="290"/>
      <c r="Q42" s="291"/>
      <c r="R42" s="283" t="s">
        <v>756</v>
      </c>
      <c r="S42" s="303">
        <v>0</v>
      </c>
      <c r="T42" s="258"/>
      <c r="U42" s="290"/>
      <c r="W42" s="283" t="s">
        <v>756</v>
      </c>
      <c r="X42" s="303">
        <v>2</v>
      </c>
      <c r="Z42" s="290"/>
      <c r="AB42" s="283" t="s">
        <v>756</v>
      </c>
      <c r="AC42" s="303">
        <v>0</v>
      </c>
      <c r="AE42" s="290"/>
      <c r="AF42" s="291"/>
      <c r="AG42" s="283" t="s">
        <v>756</v>
      </c>
      <c r="AH42" s="303">
        <v>2</v>
      </c>
      <c r="AJ42" s="290"/>
      <c r="AL42" s="283" t="s">
        <v>756</v>
      </c>
      <c r="AM42" s="303">
        <v>0</v>
      </c>
      <c r="AO42" s="290"/>
      <c r="AQ42" s="283" t="s">
        <v>756</v>
      </c>
      <c r="AR42" s="303">
        <v>2</v>
      </c>
      <c r="AT42" s="290"/>
      <c r="AV42" s="283" t="s">
        <v>756</v>
      </c>
      <c r="AW42" s="303">
        <v>0</v>
      </c>
      <c r="AY42" s="290"/>
      <c r="AZ42" s="291"/>
      <c r="BA42" s="283" t="s">
        <v>756</v>
      </c>
      <c r="BB42" s="303">
        <v>2</v>
      </c>
      <c r="BD42" s="290"/>
      <c r="BF42" s="283" t="s">
        <v>756</v>
      </c>
      <c r="BG42" s="303">
        <v>0</v>
      </c>
      <c r="BI42" s="290"/>
      <c r="BJ42" s="291"/>
      <c r="BL42" s="283" t="s">
        <v>756</v>
      </c>
      <c r="BM42" s="303">
        <v>2</v>
      </c>
      <c r="BO42" s="290"/>
      <c r="BQ42" s="283" t="s">
        <v>756</v>
      </c>
      <c r="BR42" s="303">
        <v>0</v>
      </c>
      <c r="BT42" s="290"/>
      <c r="BV42" s="283" t="s">
        <v>756</v>
      </c>
      <c r="BW42" s="303">
        <v>2</v>
      </c>
      <c r="BY42" s="290"/>
      <c r="CA42" s="283" t="s">
        <v>756</v>
      </c>
      <c r="CB42" s="303">
        <v>0</v>
      </c>
      <c r="CD42" s="290"/>
      <c r="CF42" s="283" t="s">
        <v>756</v>
      </c>
      <c r="CG42" s="303">
        <v>2</v>
      </c>
      <c r="CI42" s="290"/>
      <c r="CK42" s="283" t="s">
        <v>756</v>
      </c>
      <c r="CL42" s="303">
        <v>0</v>
      </c>
      <c r="CN42" s="290"/>
      <c r="CP42" s="283" t="s">
        <v>756</v>
      </c>
      <c r="CQ42" s="303">
        <v>2</v>
      </c>
      <c r="CS42" s="290"/>
      <c r="CU42" s="283" t="s">
        <v>756</v>
      </c>
      <c r="CV42" s="303">
        <v>4</v>
      </c>
      <c r="CX42" s="290"/>
      <c r="CZ42" s="283" t="s">
        <v>756</v>
      </c>
      <c r="DA42" s="303">
        <v>2</v>
      </c>
      <c r="DC42" s="290"/>
    </row>
    <row r="43" spans="1:107" x14ac:dyDescent="0.15">
      <c r="A43" s="272"/>
      <c r="B43" s="569" t="s">
        <v>795</v>
      </c>
      <c r="C43" s="1134">
        <f>IF(AND(D43="",F43=""),"",IF(F43="",D43+E43,F43))</f>
        <v>2</v>
      </c>
      <c r="D43" s="568">
        <f>IF(INDEX(43:43,$F$2)="","", INDEX(43:43, $F$2))</f>
        <v>2</v>
      </c>
      <c r="E43" s="1107"/>
      <c r="F43" s="565"/>
      <c r="G43" s="288"/>
      <c r="H43" s="273"/>
      <c r="M43" s="283" t="s">
        <v>759</v>
      </c>
      <c r="N43" s="303">
        <v>2</v>
      </c>
      <c r="O43" s="258"/>
      <c r="P43" s="290"/>
      <c r="Q43" s="291"/>
      <c r="R43" s="283" t="s">
        <v>759</v>
      </c>
      <c r="S43" s="303">
        <v>2</v>
      </c>
      <c r="T43" s="258"/>
      <c r="U43" s="290"/>
      <c r="W43" s="283" t="s">
        <v>759</v>
      </c>
      <c r="X43" s="303">
        <v>2</v>
      </c>
      <c r="Z43" s="290"/>
      <c r="AB43" s="283" t="s">
        <v>759</v>
      </c>
      <c r="AC43" s="303">
        <v>2</v>
      </c>
      <c r="AE43" s="290"/>
      <c r="AF43" s="291"/>
      <c r="AG43" s="283" t="s">
        <v>759</v>
      </c>
      <c r="AH43" s="303">
        <v>2</v>
      </c>
      <c r="AJ43" s="290"/>
      <c r="AL43" s="283" t="s">
        <v>759</v>
      </c>
      <c r="AM43" s="303">
        <v>2</v>
      </c>
      <c r="AO43" s="290"/>
      <c r="AQ43" s="283" t="s">
        <v>759</v>
      </c>
      <c r="AR43" s="303">
        <v>2</v>
      </c>
      <c r="AT43" s="290"/>
      <c r="AV43" s="283" t="s">
        <v>759</v>
      </c>
      <c r="AW43" s="303">
        <v>2</v>
      </c>
      <c r="AY43" s="290"/>
      <c r="AZ43" s="291"/>
      <c r="BA43" s="283" t="s">
        <v>759</v>
      </c>
      <c r="BB43" s="303">
        <v>2</v>
      </c>
      <c r="BD43" s="290"/>
      <c r="BF43" s="283" t="s">
        <v>759</v>
      </c>
      <c r="BG43" s="303">
        <v>2</v>
      </c>
      <c r="BI43" s="290"/>
      <c r="BJ43" s="291"/>
      <c r="BL43" s="283" t="s">
        <v>759</v>
      </c>
      <c r="BM43" s="303">
        <v>2</v>
      </c>
      <c r="BO43" s="290"/>
      <c r="BQ43" s="283" t="s">
        <v>759</v>
      </c>
      <c r="BR43" s="303">
        <v>2</v>
      </c>
      <c r="BT43" s="290"/>
      <c r="BV43" s="283" t="s">
        <v>759</v>
      </c>
      <c r="BW43" s="303">
        <v>2</v>
      </c>
      <c r="BY43" s="290"/>
      <c r="CA43" s="283" t="s">
        <v>759</v>
      </c>
      <c r="CB43" s="303">
        <v>2</v>
      </c>
      <c r="CD43" s="290"/>
      <c r="CF43" s="283" t="s">
        <v>759</v>
      </c>
      <c r="CG43" s="303">
        <v>2</v>
      </c>
      <c r="CI43" s="290"/>
      <c r="CK43" s="283" t="s">
        <v>759</v>
      </c>
      <c r="CL43" s="303">
        <v>2</v>
      </c>
      <c r="CN43" s="290"/>
      <c r="CP43" s="283" t="s">
        <v>759</v>
      </c>
      <c r="CQ43" s="303">
        <v>2</v>
      </c>
      <c r="CS43" s="290"/>
      <c r="CU43" s="283" t="s">
        <v>759</v>
      </c>
      <c r="CV43" s="303">
        <v>2</v>
      </c>
      <c r="CX43" s="290"/>
      <c r="CZ43" s="283" t="s">
        <v>759</v>
      </c>
      <c r="DA43" s="303">
        <v>2</v>
      </c>
      <c r="DC43" s="290"/>
    </row>
    <row r="44" spans="1:107" x14ac:dyDescent="0.15">
      <c r="A44" s="272"/>
      <c r="B44" s="569" t="s">
        <v>796</v>
      </c>
      <c r="C44" s="1134" t="str">
        <f>IF(AND(D44="",F44=""),"",IF(F44="",D44,F44))</f>
        <v>Water</v>
      </c>
      <c r="D44" s="568" t="str">
        <f>IF(INDEX(44:44,$F$2)="","", INDEX(44:44, $F$2))</f>
        <v>Water</v>
      </c>
      <c r="E44" s="568"/>
      <c r="F44" s="565"/>
      <c r="G44" s="297"/>
      <c r="H44" s="273"/>
      <c r="M44" s="283" t="s">
        <v>761</v>
      </c>
      <c r="N44" s="303" t="s">
        <v>797</v>
      </c>
      <c r="O44" s="258"/>
      <c r="P44" s="276"/>
      <c r="R44" s="283" t="s">
        <v>761</v>
      </c>
      <c r="S44" s="303" t="s">
        <v>797</v>
      </c>
      <c r="T44" s="258"/>
      <c r="U44" s="276"/>
      <c r="W44" s="283" t="s">
        <v>761</v>
      </c>
      <c r="X44" s="303" t="s">
        <v>797</v>
      </c>
      <c r="Z44" s="276"/>
      <c r="AB44" s="283" t="s">
        <v>761</v>
      </c>
      <c r="AC44" s="303" t="s">
        <v>797</v>
      </c>
      <c r="AE44" s="276"/>
      <c r="AG44" s="283" t="s">
        <v>761</v>
      </c>
      <c r="AH44" s="303" t="s">
        <v>797</v>
      </c>
      <c r="AJ44" s="276"/>
      <c r="AL44" s="283" t="s">
        <v>761</v>
      </c>
      <c r="AM44" s="303" t="s">
        <v>797</v>
      </c>
      <c r="AO44" s="276"/>
      <c r="AQ44" s="283" t="s">
        <v>761</v>
      </c>
      <c r="AR44" s="303" t="s">
        <v>797</v>
      </c>
      <c r="AT44" s="276"/>
      <c r="AV44" s="283" t="s">
        <v>761</v>
      </c>
      <c r="AW44" s="303" t="s">
        <v>797</v>
      </c>
      <c r="AY44" s="276"/>
      <c r="BA44" s="283" t="s">
        <v>761</v>
      </c>
      <c r="BB44" s="303" t="s">
        <v>797</v>
      </c>
      <c r="BD44" s="276"/>
      <c r="BF44" s="283" t="s">
        <v>761</v>
      </c>
      <c r="BG44" s="303" t="s">
        <v>797</v>
      </c>
      <c r="BI44" s="276"/>
      <c r="BL44" s="283" t="s">
        <v>761</v>
      </c>
      <c r="BM44" s="303" t="s">
        <v>797</v>
      </c>
      <c r="BO44" s="276"/>
      <c r="BQ44" s="283" t="s">
        <v>761</v>
      </c>
      <c r="BR44" s="303" t="s">
        <v>797</v>
      </c>
      <c r="BT44" s="276"/>
      <c r="BV44" s="283" t="s">
        <v>761</v>
      </c>
      <c r="BW44" s="303" t="s">
        <v>797</v>
      </c>
      <c r="BY44" s="276"/>
      <c r="CA44" s="283" t="s">
        <v>761</v>
      </c>
      <c r="CB44" s="303" t="s">
        <v>797</v>
      </c>
      <c r="CD44" s="276"/>
      <c r="CF44" s="283" t="s">
        <v>761</v>
      </c>
      <c r="CG44" s="303" t="s">
        <v>797</v>
      </c>
      <c r="CI44" s="276"/>
      <c r="CK44" s="283" t="s">
        <v>761</v>
      </c>
      <c r="CL44" s="303" t="s">
        <v>797</v>
      </c>
      <c r="CN44" s="276"/>
      <c r="CP44" s="283" t="s">
        <v>761</v>
      </c>
      <c r="CQ44" s="303" t="s">
        <v>797</v>
      </c>
      <c r="CS44" s="276"/>
      <c r="CU44" s="283" t="s">
        <v>761</v>
      </c>
      <c r="CV44" s="303" t="s">
        <v>762</v>
      </c>
      <c r="CX44" s="276"/>
      <c r="CZ44" s="283" t="s">
        <v>761</v>
      </c>
      <c r="DA44" s="303" t="s">
        <v>762</v>
      </c>
      <c r="DC44" s="276"/>
    </row>
    <row r="45" spans="1:107" x14ac:dyDescent="0.15">
      <c r="A45" s="272"/>
      <c r="B45" s="569"/>
      <c r="C45" s="574"/>
      <c r="D45" s="568"/>
      <c r="E45" s="568"/>
      <c r="F45" s="565"/>
      <c r="G45" s="293"/>
      <c r="H45" s="273"/>
      <c r="M45" s="292"/>
      <c r="N45" s="284"/>
      <c r="O45" s="296"/>
      <c r="P45" s="295"/>
      <c r="Q45" s="296"/>
      <c r="R45" s="292"/>
      <c r="S45" s="284"/>
      <c r="T45" s="296"/>
      <c r="U45" s="295"/>
      <c r="W45" s="292"/>
      <c r="X45" s="284"/>
      <c r="Y45" s="296"/>
      <c r="Z45" s="295"/>
      <c r="AB45" s="292"/>
      <c r="AC45" s="284"/>
      <c r="AD45" s="296"/>
      <c r="AE45" s="295"/>
      <c r="AF45" s="296"/>
      <c r="AG45" s="292"/>
      <c r="AH45" s="284"/>
      <c r="AI45" s="296"/>
      <c r="AJ45" s="295"/>
      <c r="AL45" s="292"/>
      <c r="AM45" s="284"/>
      <c r="AN45" s="296"/>
      <c r="AO45" s="295"/>
      <c r="AQ45" s="292"/>
      <c r="AR45" s="284"/>
      <c r="AS45" s="296"/>
      <c r="AT45" s="295"/>
      <c r="AV45" s="292"/>
      <c r="AW45" s="284"/>
      <c r="AX45" s="296"/>
      <c r="AY45" s="295"/>
      <c r="AZ45" s="296"/>
      <c r="BA45" s="292"/>
      <c r="BB45" s="284"/>
      <c r="BC45" s="296"/>
      <c r="BD45" s="295"/>
      <c r="BF45" s="292"/>
      <c r="BG45" s="284"/>
      <c r="BH45" s="296"/>
      <c r="BI45" s="295"/>
      <c r="BJ45" s="296"/>
      <c r="BL45" s="292"/>
      <c r="BM45" s="284"/>
      <c r="BN45" s="296"/>
      <c r="BO45" s="295"/>
      <c r="BQ45" s="292"/>
      <c r="BR45" s="284"/>
      <c r="BS45" s="296"/>
      <c r="BT45" s="295"/>
      <c r="BV45" s="292"/>
      <c r="BW45" s="284"/>
      <c r="BX45" s="296"/>
      <c r="BY45" s="295"/>
      <c r="CA45" s="292"/>
      <c r="CB45" s="284"/>
      <c r="CC45" s="296"/>
      <c r="CD45" s="295"/>
      <c r="CF45" s="292"/>
      <c r="CG45" s="284"/>
      <c r="CH45" s="296"/>
      <c r="CI45" s="295"/>
      <c r="CK45" s="292"/>
      <c r="CL45" s="284"/>
      <c r="CM45" s="296"/>
      <c r="CN45" s="295"/>
      <c r="CP45" s="292"/>
      <c r="CQ45" s="284"/>
      <c r="CR45" s="296"/>
      <c r="CS45" s="295"/>
      <c r="CU45" s="292"/>
      <c r="CV45" s="284"/>
      <c r="CW45" s="296"/>
      <c r="CX45" s="295"/>
      <c r="CZ45" s="292"/>
      <c r="DA45" s="284"/>
      <c r="DB45" s="296"/>
      <c r="DC45" s="295"/>
    </row>
    <row r="46" spans="1:107" ht="16" x14ac:dyDescent="0.2">
      <c r="A46" s="272"/>
      <c r="B46" s="592" t="s">
        <v>798</v>
      </c>
      <c r="C46" s="563" t="str">
        <f>IF(AND(D46="",F46=""),"",IF(F46="",D46,F46))</f>
        <v/>
      </c>
      <c r="D46" s="568" t="str">
        <f>IF(INDEX(46:46,$F$2)="","", INDEX(46:46, $F$2))</f>
        <v/>
      </c>
      <c r="E46" s="568"/>
      <c r="F46" s="565"/>
      <c r="G46" s="293"/>
      <c r="H46" s="273"/>
      <c r="M46" s="285" t="s">
        <v>799</v>
      </c>
      <c r="N46" s="246"/>
      <c r="O46" s="296"/>
      <c r="P46" s="295"/>
      <c r="Q46" s="296"/>
      <c r="R46" s="285" t="s">
        <v>799</v>
      </c>
      <c r="S46" s="246"/>
      <c r="T46" s="296"/>
      <c r="U46" s="295"/>
      <c r="W46" s="285" t="s">
        <v>799</v>
      </c>
      <c r="X46" s="246"/>
      <c r="Y46" s="296"/>
      <c r="Z46" s="295"/>
      <c r="AB46" s="285" t="s">
        <v>799</v>
      </c>
      <c r="AC46" s="246"/>
      <c r="AD46" s="296"/>
      <c r="AE46" s="295"/>
      <c r="AF46" s="296"/>
      <c r="AG46" s="285" t="s">
        <v>799</v>
      </c>
      <c r="AH46" s="246"/>
      <c r="AI46" s="296"/>
      <c r="AJ46" s="295"/>
      <c r="AL46" s="285" t="s">
        <v>799</v>
      </c>
      <c r="AM46" s="246"/>
      <c r="AN46" s="296"/>
      <c r="AO46" s="295"/>
      <c r="AQ46" s="285" t="s">
        <v>799</v>
      </c>
      <c r="AR46" s="246"/>
      <c r="AS46" s="296"/>
      <c r="AT46" s="295"/>
      <c r="AV46" s="285" t="s">
        <v>799</v>
      </c>
      <c r="AW46" s="246"/>
      <c r="AX46" s="296"/>
      <c r="AY46" s="295"/>
      <c r="AZ46" s="296"/>
      <c r="BA46" s="285" t="s">
        <v>799</v>
      </c>
      <c r="BB46" s="246"/>
      <c r="BC46" s="296"/>
      <c r="BD46" s="295"/>
      <c r="BF46" s="285" t="s">
        <v>799</v>
      </c>
      <c r="BG46" s="246"/>
      <c r="BH46" s="296"/>
      <c r="BI46" s="295"/>
      <c r="BJ46" s="296"/>
      <c r="BL46" s="285" t="s">
        <v>799</v>
      </c>
      <c r="BM46" s="246"/>
      <c r="BN46" s="296"/>
      <c r="BO46" s="295"/>
      <c r="BQ46" s="285" t="s">
        <v>799</v>
      </c>
      <c r="BR46" s="246"/>
      <c r="BS46" s="296"/>
      <c r="BT46" s="295"/>
      <c r="BV46" s="285" t="s">
        <v>799</v>
      </c>
      <c r="BW46" s="246"/>
      <c r="BX46" s="296"/>
      <c r="BY46" s="295"/>
      <c r="CA46" s="285" t="s">
        <v>799</v>
      </c>
      <c r="CB46" s="246"/>
      <c r="CC46" s="296"/>
      <c r="CD46" s="295"/>
      <c r="CF46" s="285" t="s">
        <v>799</v>
      </c>
      <c r="CG46" s="246"/>
      <c r="CH46" s="296"/>
      <c r="CI46" s="295"/>
      <c r="CK46" s="285" t="s">
        <v>799</v>
      </c>
      <c r="CL46" s="246"/>
      <c r="CM46" s="296"/>
      <c r="CN46" s="295"/>
      <c r="CP46" s="285" t="s">
        <v>799</v>
      </c>
      <c r="CQ46" s="246"/>
      <c r="CR46" s="296"/>
      <c r="CS46" s="295"/>
      <c r="CU46" s="285" t="s">
        <v>799</v>
      </c>
      <c r="CV46" s="246"/>
      <c r="CW46" s="296"/>
      <c r="CX46" s="295"/>
      <c r="CZ46" s="285" t="s">
        <v>799</v>
      </c>
      <c r="DA46" s="246"/>
      <c r="DB46" s="296"/>
      <c r="DC46" s="295"/>
    </row>
    <row r="47" spans="1:107" x14ac:dyDescent="0.15">
      <c r="A47" s="272"/>
      <c r="B47" s="569" t="s">
        <v>800</v>
      </c>
      <c r="C47" s="1133">
        <f>IF(AND(D47="",F47=""),"",IF(F47="",D47+E47,F47))</f>
        <v>2.2400000000000002</v>
      </c>
      <c r="D47" s="564">
        <f>IF(INDEX(47:47,$F$2)="","", INDEX(47:47, $F$2))</f>
        <v>2.2400000000000002</v>
      </c>
      <c r="E47" s="1106">
        <f>Lists!O144</f>
        <v>0</v>
      </c>
      <c r="F47" s="565"/>
      <c r="G47" s="293"/>
      <c r="H47" s="273"/>
      <c r="M47" s="289" t="s">
        <v>735</v>
      </c>
      <c r="N47" s="281">
        <v>2.2400000000000002</v>
      </c>
      <c r="O47" s="296"/>
      <c r="P47" s="295"/>
      <c r="Q47" s="296"/>
      <c r="R47" s="289" t="s">
        <v>735</v>
      </c>
      <c r="S47" s="281">
        <v>2.2400000000000002</v>
      </c>
      <c r="T47" s="296"/>
      <c r="U47" s="295"/>
      <c r="W47" s="289" t="s">
        <v>735</v>
      </c>
      <c r="X47" s="281">
        <v>2.2400000000000002</v>
      </c>
      <c r="Y47" s="296"/>
      <c r="Z47" s="295"/>
      <c r="AB47" s="289" t="s">
        <v>735</v>
      </c>
      <c r="AC47" s="281">
        <v>2.2400000000000002</v>
      </c>
      <c r="AD47" s="296"/>
      <c r="AE47" s="295"/>
      <c r="AF47" s="296"/>
      <c r="AG47" s="289" t="s">
        <v>735</v>
      </c>
      <c r="AH47" s="281">
        <v>2.2400000000000002</v>
      </c>
      <c r="AI47" s="296"/>
      <c r="AJ47" s="295"/>
      <c r="AL47" s="289" t="s">
        <v>735</v>
      </c>
      <c r="AM47" s="281">
        <v>2.2400000000000002</v>
      </c>
      <c r="AN47" s="296"/>
      <c r="AO47" s="295"/>
      <c r="AQ47" s="289" t="s">
        <v>735</v>
      </c>
      <c r="AR47" s="281">
        <v>2.2400000000000002</v>
      </c>
      <c r="AS47" s="296"/>
      <c r="AT47" s="295"/>
      <c r="AV47" s="289" t="s">
        <v>735</v>
      </c>
      <c r="AW47" s="281">
        <v>2.2400000000000002</v>
      </c>
      <c r="AX47" s="296"/>
      <c r="AY47" s="295"/>
      <c r="AZ47" s="296"/>
      <c r="BA47" s="289" t="s">
        <v>735</v>
      </c>
      <c r="BB47" s="281">
        <v>2.2400000000000002</v>
      </c>
      <c r="BC47" s="296"/>
      <c r="BD47" s="295"/>
      <c r="BF47" s="289" t="s">
        <v>735</v>
      </c>
      <c r="BG47" s="281">
        <v>2.2400000000000002</v>
      </c>
      <c r="BH47" s="296"/>
      <c r="BI47" s="295"/>
      <c r="BJ47" s="296"/>
      <c r="BL47" s="289" t="s">
        <v>735</v>
      </c>
      <c r="BM47" s="281">
        <v>2.2400000000000002</v>
      </c>
      <c r="BN47" s="296"/>
      <c r="BO47" s="295"/>
      <c r="BQ47" s="289" t="s">
        <v>735</v>
      </c>
      <c r="BR47" s="281">
        <v>2.2400000000000002</v>
      </c>
      <c r="BS47" s="296"/>
      <c r="BT47" s="295"/>
      <c r="BV47" s="289" t="s">
        <v>735</v>
      </c>
      <c r="BW47" s="281">
        <v>2.2400000000000002</v>
      </c>
      <c r="BX47" s="296"/>
      <c r="BY47" s="295"/>
      <c r="CA47" s="289" t="s">
        <v>735</v>
      </c>
      <c r="CB47" s="281">
        <v>2.2400000000000002</v>
      </c>
      <c r="CC47" s="296"/>
      <c r="CD47" s="295"/>
      <c r="CF47" s="289" t="s">
        <v>735</v>
      </c>
      <c r="CG47" s="281">
        <v>2.2400000000000002</v>
      </c>
      <c r="CH47" s="296"/>
      <c r="CI47" s="295"/>
      <c r="CK47" s="289" t="s">
        <v>735</v>
      </c>
      <c r="CL47" s="281">
        <v>2.2400000000000002</v>
      </c>
      <c r="CM47" s="296"/>
      <c r="CN47" s="295"/>
      <c r="CP47" s="289" t="s">
        <v>735</v>
      </c>
      <c r="CQ47" s="281">
        <v>2.2400000000000002</v>
      </c>
      <c r="CR47" s="296"/>
      <c r="CS47" s="295"/>
      <c r="CU47" s="289" t="s">
        <v>735</v>
      </c>
      <c r="CV47" s="281">
        <v>3.4</v>
      </c>
      <c r="CW47" s="296"/>
      <c r="CX47" s="295"/>
      <c r="CZ47" s="289" t="s">
        <v>735</v>
      </c>
      <c r="DA47" s="281">
        <v>3.4</v>
      </c>
      <c r="DB47" s="296"/>
      <c r="DC47" s="295"/>
    </row>
    <row r="48" spans="1:107" x14ac:dyDescent="0.15">
      <c r="A48" s="272"/>
      <c r="B48" s="569" t="s">
        <v>801</v>
      </c>
      <c r="C48" s="1131">
        <f>IF(AND(D48="",F48=""),"",IF(F48="",D48+E48,F48))</f>
        <v>1.95</v>
      </c>
      <c r="D48" s="564">
        <f>IF(INDEX(48:48,$F$2)="","", INDEX(48:48, $F$2))</f>
        <v>1.95</v>
      </c>
      <c r="E48" s="1106"/>
      <c r="F48" s="565"/>
      <c r="G48" s="293"/>
      <c r="H48" s="273"/>
      <c r="M48" s="283" t="s">
        <v>767</v>
      </c>
      <c r="N48" s="281">
        <v>1.95</v>
      </c>
      <c r="O48" s="296"/>
      <c r="P48" s="295"/>
      <c r="Q48" s="296"/>
      <c r="R48" s="283" t="s">
        <v>767</v>
      </c>
      <c r="S48" s="281">
        <v>1.95</v>
      </c>
      <c r="T48" s="296"/>
      <c r="U48" s="295"/>
      <c r="W48" s="283" t="s">
        <v>767</v>
      </c>
      <c r="X48" s="281">
        <v>1.95</v>
      </c>
      <c r="Y48" s="296"/>
      <c r="Z48" s="295"/>
      <c r="AB48" s="283" t="s">
        <v>767</v>
      </c>
      <c r="AC48" s="281">
        <v>1.95</v>
      </c>
      <c r="AD48" s="296"/>
      <c r="AE48" s="295"/>
      <c r="AF48" s="296"/>
      <c r="AG48" s="283" t="s">
        <v>767</v>
      </c>
      <c r="AH48" s="281">
        <v>1.95</v>
      </c>
      <c r="AI48" s="296"/>
      <c r="AJ48" s="295"/>
      <c r="AL48" s="283" t="s">
        <v>767</v>
      </c>
      <c r="AM48" s="281">
        <v>1.95</v>
      </c>
      <c r="AN48" s="296"/>
      <c r="AO48" s="295"/>
      <c r="AQ48" s="283" t="s">
        <v>767</v>
      </c>
      <c r="AR48" s="281">
        <v>1.95</v>
      </c>
      <c r="AS48" s="296"/>
      <c r="AT48" s="295"/>
      <c r="AV48" s="283" t="s">
        <v>767</v>
      </c>
      <c r="AW48" s="281">
        <v>1.95</v>
      </c>
      <c r="AX48" s="296"/>
      <c r="AY48" s="295"/>
      <c r="AZ48" s="296"/>
      <c r="BA48" s="283" t="s">
        <v>767</v>
      </c>
      <c r="BB48" s="281">
        <v>1.95</v>
      </c>
      <c r="BC48" s="296"/>
      <c r="BD48" s="295"/>
      <c r="BF48" s="283" t="s">
        <v>767</v>
      </c>
      <c r="BG48" s="281">
        <v>1.95</v>
      </c>
      <c r="BH48" s="296"/>
      <c r="BI48" s="295"/>
      <c r="BJ48" s="296"/>
      <c r="BL48" s="283" t="s">
        <v>767</v>
      </c>
      <c r="BM48" s="281">
        <v>1.95</v>
      </c>
      <c r="BN48" s="296"/>
      <c r="BO48" s="295"/>
      <c r="BQ48" s="283" t="s">
        <v>767</v>
      </c>
      <c r="BR48" s="281">
        <v>1.95</v>
      </c>
      <c r="BS48" s="296"/>
      <c r="BT48" s="295"/>
      <c r="BV48" s="283" t="s">
        <v>767</v>
      </c>
      <c r="BW48" s="281">
        <v>1.95</v>
      </c>
      <c r="BX48" s="296"/>
      <c r="BY48" s="295"/>
      <c r="CA48" s="283" t="s">
        <v>767</v>
      </c>
      <c r="CB48" s="281">
        <v>1.95</v>
      </c>
      <c r="CC48" s="296"/>
      <c r="CD48" s="295"/>
      <c r="CF48" s="283" t="s">
        <v>767</v>
      </c>
      <c r="CG48" s="281">
        <v>1.95</v>
      </c>
      <c r="CH48" s="296"/>
      <c r="CI48" s="295"/>
      <c r="CK48" s="283" t="s">
        <v>767</v>
      </c>
      <c r="CL48" s="281">
        <v>1.95</v>
      </c>
      <c r="CM48" s="296"/>
      <c r="CN48" s="295"/>
      <c r="CP48" s="283" t="s">
        <v>767</v>
      </c>
      <c r="CQ48" s="281">
        <v>1.95</v>
      </c>
      <c r="CR48" s="296"/>
      <c r="CS48" s="295"/>
      <c r="CU48" s="283" t="s">
        <v>767</v>
      </c>
      <c r="CV48" s="281">
        <v>1.95</v>
      </c>
      <c r="CW48" s="296"/>
      <c r="CX48" s="295"/>
      <c r="CZ48" s="283" t="s">
        <v>767</v>
      </c>
      <c r="DA48" s="281">
        <v>1.95</v>
      </c>
      <c r="DB48" s="296"/>
      <c r="DC48" s="295"/>
    </row>
    <row r="49" spans="1:107" x14ac:dyDescent="0.15">
      <c r="A49" s="272"/>
      <c r="B49" s="569" t="s">
        <v>802</v>
      </c>
      <c r="C49" s="1131">
        <f>IF(AND(D49="",F49=""),"",IF(F49="",D49+E49,F49))</f>
        <v>1.1000000000000001</v>
      </c>
      <c r="D49" s="564">
        <f>IF(INDEX(49:49,$F$2)="","", INDEX(49:49, $F$2))</f>
        <v>1.1000000000000001</v>
      </c>
      <c r="E49" s="1106"/>
      <c r="F49" s="565"/>
      <c r="G49" s="293"/>
      <c r="H49" s="273"/>
      <c r="M49" s="283" t="s">
        <v>769</v>
      </c>
      <c r="N49" s="281">
        <v>1.1000000000000001</v>
      </c>
      <c r="O49" s="304"/>
      <c r="P49" s="295"/>
      <c r="Q49" s="296"/>
      <c r="R49" s="283" t="s">
        <v>769</v>
      </c>
      <c r="S49" s="281">
        <v>1.1000000000000001</v>
      </c>
      <c r="T49" s="304"/>
      <c r="U49" s="295"/>
      <c r="W49" s="283" t="s">
        <v>769</v>
      </c>
      <c r="X49" s="281">
        <v>1.1000000000000001</v>
      </c>
      <c r="Y49" s="304"/>
      <c r="Z49" s="295"/>
      <c r="AB49" s="283" t="s">
        <v>769</v>
      </c>
      <c r="AC49" s="281">
        <v>1.1000000000000001</v>
      </c>
      <c r="AD49" s="304"/>
      <c r="AE49" s="295"/>
      <c r="AF49" s="296"/>
      <c r="AG49" s="283" t="s">
        <v>769</v>
      </c>
      <c r="AH49" s="281">
        <v>1.1000000000000001</v>
      </c>
      <c r="AI49" s="304"/>
      <c r="AJ49" s="295"/>
      <c r="AL49" s="283" t="s">
        <v>769</v>
      </c>
      <c r="AM49" s="281">
        <v>1.1000000000000001</v>
      </c>
      <c r="AN49" s="304"/>
      <c r="AO49" s="295"/>
      <c r="AQ49" s="283" t="s">
        <v>769</v>
      </c>
      <c r="AR49" s="281">
        <v>1.1000000000000001</v>
      </c>
      <c r="AS49" s="304"/>
      <c r="AT49" s="295"/>
      <c r="AV49" s="283" t="s">
        <v>769</v>
      </c>
      <c r="AW49" s="281">
        <v>1.1000000000000001</v>
      </c>
      <c r="AX49" s="304"/>
      <c r="AY49" s="295"/>
      <c r="AZ49" s="296"/>
      <c r="BA49" s="283" t="s">
        <v>769</v>
      </c>
      <c r="BB49" s="281">
        <v>1.1000000000000001</v>
      </c>
      <c r="BC49" s="304"/>
      <c r="BD49" s="295"/>
      <c r="BF49" s="283" t="s">
        <v>769</v>
      </c>
      <c r="BG49" s="281">
        <v>1.1000000000000001</v>
      </c>
      <c r="BH49" s="304"/>
      <c r="BI49" s="295"/>
      <c r="BJ49" s="296"/>
      <c r="BL49" s="283" t="s">
        <v>769</v>
      </c>
      <c r="BM49" s="281">
        <v>1.1000000000000001</v>
      </c>
      <c r="BN49" s="304"/>
      <c r="BO49" s="295"/>
      <c r="BQ49" s="283" t="s">
        <v>769</v>
      </c>
      <c r="BR49" s="281">
        <v>1.1000000000000001</v>
      </c>
      <c r="BS49" s="304"/>
      <c r="BT49" s="295"/>
      <c r="BV49" s="283" t="s">
        <v>769</v>
      </c>
      <c r="BW49" s="281">
        <v>1.1000000000000001</v>
      </c>
      <c r="BX49" s="304"/>
      <c r="BY49" s="295"/>
      <c r="CA49" s="283" t="s">
        <v>769</v>
      </c>
      <c r="CB49" s="281">
        <v>1.1000000000000001</v>
      </c>
      <c r="CC49" s="304"/>
      <c r="CD49" s="295"/>
      <c r="CF49" s="283" t="s">
        <v>769</v>
      </c>
      <c r="CG49" s="281">
        <v>1.1000000000000001</v>
      </c>
      <c r="CH49" s="304"/>
      <c r="CI49" s="295"/>
      <c r="CK49" s="283" t="s">
        <v>769</v>
      </c>
      <c r="CL49" s="281">
        <v>1.1000000000000001</v>
      </c>
      <c r="CM49" s="304"/>
      <c r="CN49" s="295"/>
      <c r="CP49" s="283" t="s">
        <v>769</v>
      </c>
      <c r="CQ49" s="281">
        <v>1.1000000000000001</v>
      </c>
      <c r="CR49" s="304"/>
      <c r="CS49" s="295"/>
      <c r="CU49" s="283" t="s">
        <v>769</v>
      </c>
      <c r="CV49" s="281">
        <v>1.1000000000000001</v>
      </c>
      <c r="CW49" s="304"/>
      <c r="CX49" s="295"/>
      <c r="CZ49" s="283" t="s">
        <v>769</v>
      </c>
      <c r="DA49" s="281">
        <v>1.1000000000000001</v>
      </c>
      <c r="DB49" s="304"/>
      <c r="DC49" s="295"/>
    </row>
    <row r="50" spans="1:107" ht="15" x14ac:dyDescent="0.2">
      <c r="A50" s="272"/>
      <c r="B50" s="569" t="s">
        <v>803</v>
      </c>
      <c r="C50" s="1131">
        <f>IF(AND(D50="",F50=""),"",IF(F50="",D50+E50,F50))</f>
        <v>1</v>
      </c>
      <c r="D50" s="564">
        <f>IF(INDEX(50:50,$F$2)="","", INDEX(50:50, $F$2))</f>
        <v>1</v>
      </c>
      <c r="E50" s="1106"/>
      <c r="F50" s="565"/>
      <c r="G50" s="293"/>
      <c r="H50" s="273"/>
      <c r="M50" s="283" t="s">
        <v>761</v>
      </c>
      <c r="N50" s="281">
        <v>1</v>
      </c>
      <c r="O50" s="304"/>
      <c r="P50" s="295"/>
      <c r="Q50" s="296"/>
      <c r="R50" s="283" t="s">
        <v>761</v>
      </c>
      <c r="S50" s="281">
        <v>1</v>
      </c>
      <c r="T50" s="304"/>
      <c r="U50" s="295"/>
      <c r="W50" s="283" t="s">
        <v>761</v>
      </c>
      <c r="X50" s="281">
        <v>1</v>
      </c>
      <c r="Y50" s="304"/>
      <c r="Z50" s="295"/>
      <c r="AB50" s="283" t="s">
        <v>761</v>
      </c>
      <c r="AC50" s="281">
        <v>1</v>
      </c>
      <c r="AD50" s="304"/>
      <c r="AE50" s="295"/>
      <c r="AF50" s="296"/>
      <c r="AG50" s="283" t="s">
        <v>761</v>
      </c>
      <c r="AH50" s="281">
        <v>1</v>
      </c>
      <c r="AI50" s="304"/>
      <c r="AJ50" s="295"/>
      <c r="AL50" s="283" t="s">
        <v>761</v>
      </c>
      <c r="AM50" s="281">
        <v>1</v>
      </c>
      <c r="AN50" s="304"/>
      <c r="AO50" s="295"/>
      <c r="AQ50" s="283" t="s">
        <v>761</v>
      </c>
      <c r="AR50" s="281">
        <v>1</v>
      </c>
      <c r="AS50" s="304"/>
      <c r="AT50" s="295"/>
      <c r="AV50" s="283" t="s">
        <v>761</v>
      </c>
      <c r="AW50" s="281">
        <v>1</v>
      </c>
      <c r="AX50" s="304"/>
      <c r="AY50" s="295"/>
      <c r="AZ50" s="296"/>
      <c r="BA50" s="283" t="s">
        <v>761</v>
      </c>
      <c r="BB50" s="281">
        <v>1</v>
      </c>
      <c r="BC50" s="304"/>
      <c r="BD50" s="295"/>
      <c r="BF50" s="283" t="s">
        <v>761</v>
      </c>
      <c r="BG50" s="281">
        <v>1</v>
      </c>
      <c r="BH50" s="304"/>
      <c r="BI50" s="295"/>
      <c r="BJ50" s="296"/>
      <c r="BL50" s="283" t="s">
        <v>761</v>
      </c>
      <c r="BM50" s="281">
        <v>1</v>
      </c>
      <c r="BN50" s="304"/>
      <c r="BO50" s="295"/>
      <c r="BQ50" s="283" t="s">
        <v>761</v>
      </c>
      <c r="BR50" s="281">
        <v>1</v>
      </c>
      <c r="BS50" s="304"/>
      <c r="BT50" s="295"/>
      <c r="BV50" s="283" t="s">
        <v>761</v>
      </c>
      <c r="BW50" s="281">
        <v>1</v>
      </c>
      <c r="BX50" s="304"/>
      <c r="BY50" s="295"/>
      <c r="CA50" s="283" t="s">
        <v>761</v>
      </c>
      <c r="CB50" s="281">
        <v>1</v>
      </c>
      <c r="CC50" s="304"/>
      <c r="CD50" s="295"/>
      <c r="CF50" s="283" t="s">
        <v>761</v>
      </c>
      <c r="CG50" s="281">
        <v>1</v>
      </c>
      <c r="CH50" s="304"/>
      <c r="CI50" s="295"/>
      <c r="CK50" s="283" t="s">
        <v>761</v>
      </c>
      <c r="CL50" s="281">
        <v>1</v>
      </c>
      <c r="CM50" s="304"/>
      <c r="CN50" s="295"/>
      <c r="CP50" s="283" t="s">
        <v>761</v>
      </c>
      <c r="CQ50" s="281">
        <v>1</v>
      </c>
      <c r="CR50" s="304"/>
      <c r="CS50" s="295"/>
      <c r="CU50" s="283" t="s">
        <v>761</v>
      </c>
      <c r="CV50" s="281">
        <v>1.03</v>
      </c>
      <c r="CW50" s="304"/>
      <c r="CX50" s="295"/>
      <c r="CZ50" s="283" t="s">
        <v>761</v>
      </c>
      <c r="DA50" s="281">
        <v>1.03</v>
      </c>
      <c r="DB50" s="304"/>
      <c r="DC50" s="295"/>
    </row>
    <row r="51" spans="1:107" x14ac:dyDescent="0.15">
      <c r="A51" s="272"/>
      <c r="B51" s="569"/>
      <c r="C51" s="574"/>
      <c r="D51" s="568"/>
      <c r="E51" s="568"/>
      <c r="F51" s="565"/>
      <c r="G51" s="293"/>
      <c r="H51" s="273"/>
      <c r="M51" s="292"/>
      <c r="N51" s="284"/>
      <c r="O51" s="296"/>
      <c r="P51" s="295"/>
      <c r="Q51" s="296"/>
      <c r="R51" s="292"/>
      <c r="S51" s="284"/>
      <c r="T51" s="296"/>
      <c r="U51" s="295"/>
      <c r="W51" s="292"/>
      <c r="X51" s="284"/>
      <c r="Y51" s="296"/>
      <c r="Z51" s="295"/>
      <c r="AB51" s="292"/>
      <c r="AC51" s="284"/>
      <c r="AD51" s="296"/>
      <c r="AE51" s="295"/>
      <c r="AF51" s="296"/>
      <c r="AG51" s="292"/>
      <c r="AH51" s="284"/>
      <c r="AI51" s="296"/>
      <c r="AJ51" s="295"/>
      <c r="AL51" s="292"/>
      <c r="AM51" s="284"/>
      <c r="AN51" s="296"/>
      <c r="AO51" s="295"/>
      <c r="AQ51" s="292"/>
      <c r="AR51" s="284"/>
      <c r="AS51" s="296"/>
      <c r="AT51" s="295"/>
      <c r="AV51" s="292"/>
      <c r="AW51" s="284"/>
      <c r="AX51" s="296"/>
      <c r="AY51" s="295"/>
      <c r="AZ51" s="296"/>
      <c r="BA51" s="292"/>
      <c r="BB51" s="284"/>
      <c r="BC51" s="296"/>
      <c r="BD51" s="295"/>
      <c r="BF51" s="292"/>
      <c r="BG51" s="284"/>
      <c r="BH51" s="296"/>
      <c r="BI51" s="295"/>
      <c r="BJ51" s="296"/>
      <c r="BL51" s="292"/>
      <c r="BM51" s="284"/>
      <c r="BN51" s="296"/>
      <c r="BO51" s="295"/>
      <c r="BQ51" s="292"/>
      <c r="BR51" s="284"/>
      <c r="BS51" s="296"/>
      <c r="BT51" s="295"/>
      <c r="BV51" s="292"/>
      <c r="BW51" s="284"/>
      <c r="BX51" s="296"/>
      <c r="BY51" s="295"/>
      <c r="CA51" s="292"/>
      <c r="CB51" s="284"/>
      <c r="CC51" s="296"/>
      <c r="CD51" s="295"/>
      <c r="CF51" s="292"/>
      <c r="CG51" s="284"/>
      <c r="CH51" s="296"/>
      <c r="CI51" s="295"/>
      <c r="CK51" s="292"/>
      <c r="CL51" s="284"/>
      <c r="CM51" s="296"/>
      <c r="CN51" s="295"/>
      <c r="CP51" s="292"/>
      <c r="CQ51" s="284"/>
      <c r="CR51" s="296"/>
      <c r="CS51" s="295"/>
      <c r="CU51" s="292"/>
      <c r="CV51" s="284"/>
      <c r="CW51" s="296"/>
      <c r="CX51" s="295"/>
      <c r="CZ51" s="292"/>
      <c r="DA51" s="284"/>
      <c r="DB51" s="296"/>
      <c r="DC51" s="295"/>
    </row>
    <row r="52" spans="1:107" ht="16" x14ac:dyDescent="0.2">
      <c r="A52" s="272"/>
      <c r="B52" s="591" t="s">
        <v>804</v>
      </c>
      <c r="C52" s="574"/>
      <c r="D52" s="568"/>
      <c r="E52" s="568"/>
      <c r="F52" s="565"/>
      <c r="G52" s="293"/>
      <c r="H52" s="273"/>
      <c r="M52" s="285" t="s">
        <v>804</v>
      </c>
      <c r="N52" s="284"/>
      <c r="O52" s="296"/>
      <c r="P52" s="295"/>
      <c r="Q52" s="296"/>
      <c r="R52" s="285" t="s">
        <v>804</v>
      </c>
      <c r="S52" s="284"/>
      <c r="T52" s="296"/>
      <c r="U52" s="295"/>
      <c r="W52" s="285" t="s">
        <v>804</v>
      </c>
      <c r="X52" s="284"/>
      <c r="Y52" s="296"/>
      <c r="Z52" s="295"/>
      <c r="AB52" s="285" t="s">
        <v>804</v>
      </c>
      <c r="AC52" s="284"/>
      <c r="AD52" s="296"/>
      <c r="AE52" s="295"/>
      <c r="AF52" s="296"/>
      <c r="AG52" s="285" t="s">
        <v>804</v>
      </c>
      <c r="AH52" s="284"/>
      <c r="AI52" s="296"/>
      <c r="AJ52" s="295"/>
      <c r="AL52" s="285" t="s">
        <v>804</v>
      </c>
      <c r="AM52" s="284"/>
      <c r="AN52" s="296"/>
      <c r="AO52" s="295"/>
      <c r="AQ52" s="285" t="s">
        <v>804</v>
      </c>
      <c r="AR52" s="284"/>
      <c r="AS52" s="296"/>
      <c r="AT52" s="295"/>
      <c r="AV52" s="285" t="s">
        <v>804</v>
      </c>
      <c r="AW52" s="284"/>
      <c r="AX52" s="296"/>
      <c r="AY52" s="295"/>
      <c r="AZ52" s="296"/>
      <c r="BA52" s="285" t="s">
        <v>804</v>
      </c>
      <c r="BB52" s="284"/>
      <c r="BC52" s="296"/>
      <c r="BD52" s="295"/>
      <c r="BF52" s="285" t="s">
        <v>804</v>
      </c>
      <c r="BG52" s="284"/>
      <c r="BH52" s="296"/>
      <c r="BI52" s="295"/>
      <c r="BJ52" s="296"/>
      <c r="BL52" s="285" t="s">
        <v>804</v>
      </c>
      <c r="BM52" s="284"/>
      <c r="BN52" s="296"/>
      <c r="BO52" s="295"/>
      <c r="BQ52" s="285" t="s">
        <v>804</v>
      </c>
      <c r="BR52" s="284"/>
      <c r="BS52" s="296"/>
      <c r="BT52" s="295"/>
      <c r="BV52" s="285" t="s">
        <v>804</v>
      </c>
      <c r="BW52" s="284"/>
      <c r="BX52" s="296"/>
      <c r="BY52" s="295"/>
      <c r="CA52" s="285" t="s">
        <v>804</v>
      </c>
      <c r="CB52" s="284"/>
      <c r="CC52" s="296"/>
      <c r="CD52" s="295"/>
      <c r="CF52" s="285" t="s">
        <v>804</v>
      </c>
      <c r="CG52" s="284"/>
      <c r="CH52" s="296"/>
      <c r="CI52" s="295"/>
      <c r="CK52" s="285" t="s">
        <v>804</v>
      </c>
      <c r="CL52" s="284"/>
      <c r="CM52" s="296"/>
      <c r="CN52" s="295"/>
      <c r="CP52" s="285" t="s">
        <v>804</v>
      </c>
      <c r="CQ52" s="284"/>
      <c r="CR52" s="296"/>
      <c r="CS52" s="295"/>
      <c r="CU52" s="285" t="s">
        <v>804</v>
      </c>
      <c r="CV52" s="284"/>
      <c r="CW52" s="296"/>
      <c r="CX52" s="295"/>
      <c r="CZ52" s="285" t="s">
        <v>804</v>
      </c>
      <c r="DA52" s="284"/>
      <c r="DB52" s="296"/>
      <c r="DC52" s="295"/>
    </row>
    <row r="53" spans="1:107" x14ac:dyDescent="0.15">
      <c r="A53" s="272"/>
      <c r="B53" s="569" t="s">
        <v>805</v>
      </c>
      <c r="C53" s="1136">
        <f>IF(NOT(Dashboard!E23=""),Dashboard!E23,IF(AND(D53="",F53=""),"",IF(F53="",D53,F53)))</f>
        <v>35</v>
      </c>
      <c r="D53" s="568">
        <f>IF(INDEX(53:53,$F$2)="","", INDEX(53:53, $F$2))</f>
        <v>35</v>
      </c>
      <c r="E53" s="1107"/>
      <c r="F53" s="565"/>
      <c r="G53" s="293"/>
      <c r="H53" s="273"/>
      <c r="M53" s="283" t="s">
        <v>806</v>
      </c>
      <c r="N53" s="284">
        <v>35</v>
      </c>
      <c r="O53" s="296"/>
      <c r="P53" s="295"/>
      <c r="Q53" s="296"/>
      <c r="R53" s="283" t="s">
        <v>806</v>
      </c>
      <c r="S53" s="284">
        <v>25</v>
      </c>
      <c r="T53" s="296"/>
      <c r="U53" s="295"/>
      <c r="W53" s="283" t="s">
        <v>806</v>
      </c>
      <c r="X53" s="284">
        <v>35</v>
      </c>
      <c r="Y53" s="296"/>
      <c r="Z53" s="295"/>
      <c r="AB53" s="283" t="s">
        <v>806</v>
      </c>
      <c r="AC53" s="284">
        <v>25</v>
      </c>
      <c r="AD53" s="296"/>
      <c r="AE53" s="295"/>
      <c r="AF53" s="296"/>
      <c r="AG53" s="283" t="s">
        <v>806</v>
      </c>
      <c r="AH53" s="284">
        <v>35</v>
      </c>
      <c r="AI53" s="296"/>
      <c r="AJ53" s="295"/>
      <c r="AL53" s="283" t="s">
        <v>806</v>
      </c>
      <c r="AM53" s="284">
        <v>25</v>
      </c>
      <c r="AN53" s="296"/>
      <c r="AO53" s="295"/>
      <c r="AQ53" s="283" t="s">
        <v>806</v>
      </c>
      <c r="AR53" s="284">
        <v>35</v>
      </c>
      <c r="AS53" s="296"/>
      <c r="AT53" s="295"/>
      <c r="AV53" s="283" t="s">
        <v>806</v>
      </c>
      <c r="AW53" s="284">
        <v>25</v>
      </c>
      <c r="AX53" s="296"/>
      <c r="AY53" s="295"/>
      <c r="AZ53" s="296"/>
      <c r="BA53" s="283" t="s">
        <v>806</v>
      </c>
      <c r="BB53" s="284">
        <v>35</v>
      </c>
      <c r="BC53" s="296"/>
      <c r="BD53" s="295"/>
      <c r="BF53" s="283" t="s">
        <v>806</v>
      </c>
      <c r="BG53" s="284">
        <v>25</v>
      </c>
      <c r="BH53" s="296"/>
      <c r="BI53" s="295"/>
      <c r="BJ53" s="296"/>
      <c r="BL53" s="283" t="s">
        <v>806</v>
      </c>
      <c r="BM53" s="284">
        <v>35</v>
      </c>
      <c r="BN53" s="296"/>
      <c r="BO53" s="295"/>
      <c r="BQ53" s="283" t="s">
        <v>806</v>
      </c>
      <c r="BR53" s="284">
        <v>25</v>
      </c>
      <c r="BS53" s="296"/>
      <c r="BT53" s="295"/>
      <c r="BV53" s="283" t="s">
        <v>806</v>
      </c>
      <c r="BW53" s="284">
        <v>35</v>
      </c>
      <c r="BX53" s="296"/>
      <c r="BY53" s="295"/>
      <c r="CA53" s="283" t="s">
        <v>806</v>
      </c>
      <c r="CB53" s="284">
        <v>25</v>
      </c>
      <c r="CC53" s="296"/>
      <c r="CD53" s="295"/>
      <c r="CF53" s="283" t="s">
        <v>806</v>
      </c>
      <c r="CG53" s="284">
        <v>35</v>
      </c>
      <c r="CH53" s="296"/>
      <c r="CI53" s="295"/>
      <c r="CK53" s="283" t="s">
        <v>806</v>
      </c>
      <c r="CL53" s="284">
        <v>25</v>
      </c>
      <c r="CM53" s="296"/>
      <c r="CN53" s="295"/>
      <c r="CP53" s="283" t="s">
        <v>806</v>
      </c>
      <c r="CQ53" s="284">
        <v>35</v>
      </c>
      <c r="CR53" s="296"/>
      <c r="CS53" s="295"/>
      <c r="CU53" s="283" t="s">
        <v>806</v>
      </c>
      <c r="CV53" s="284">
        <v>35</v>
      </c>
      <c r="CW53" s="296"/>
      <c r="CX53" s="295"/>
      <c r="CZ53" s="283" t="s">
        <v>806</v>
      </c>
      <c r="DA53" s="284">
        <v>25</v>
      </c>
      <c r="DB53" s="296"/>
      <c r="DC53" s="295"/>
    </row>
    <row r="54" spans="1:107" x14ac:dyDescent="0.15">
      <c r="A54" s="272"/>
      <c r="B54" s="567" t="s">
        <v>807</v>
      </c>
      <c r="C54" s="579">
        <f>IF(AND(D54="",F54=""),"",IF(F54="",D54,F54))</f>
        <v>4</v>
      </c>
      <c r="D54" s="568">
        <f>IF(INDEX(54:54,$F$2)="","", INDEX(54:54, $F$2))</f>
        <v>4</v>
      </c>
      <c r="E54" s="568"/>
      <c r="F54"/>
      <c r="G54" s="293"/>
      <c r="H54" s="828"/>
      <c r="M54" s="289" t="s">
        <v>775</v>
      </c>
      <c r="N54" s="284">
        <v>4</v>
      </c>
      <c r="O54" s="296"/>
      <c r="P54" s="295"/>
      <c r="Q54" s="296"/>
      <c r="R54" s="289" t="s">
        <v>775</v>
      </c>
      <c r="S54" s="284">
        <v>6</v>
      </c>
      <c r="T54" s="296"/>
      <c r="U54" s="295"/>
      <c r="W54" s="289" t="s">
        <v>775</v>
      </c>
      <c r="X54" s="284">
        <v>4</v>
      </c>
      <c r="Y54" s="296"/>
      <c r="Z54" s="295"/>
      <c r="AB54" s="289" t="s">
        <v>775</v>
      </c>
      <c r="AC54" s="284">
        <v>6</v>
      </c>
      <c r="AD54" s="296"/>
      <c r="AE54" s="295"/>
      <c r="AF54" s="296"/>
      <c r="AG54" s="289" t="s">
        <v>775</v>
      </c>
      <c r="AH54" s="284">
        <v>4</v>
      </c>
      <c r="AI54" s="296"/>
      <c r="AJ54" s="295"/>
      <c r="AL54" s="289" t="s">
        <v>775</v>
      </c>
      <c r="AM54" s="284">
        <v>6</v>
      </c>
      <c r="AN54" s="296"/>
      <c r="AO54" s="295"/>
      <c r="AQ54" s="289" t="s">
        <v>775</v>
      </c>
      <c r="AR54" s="284">
        <v>4</v>
      </c>
      <c r="AS54" s="296"/>
      <c r="AT54" s="295"/>
      <c r="AV54" s="289" t="s">
        <v>775</v>
      </c>
      <c r="AW54" s="284">
        <v>6</v>
      </c>
      <c r="AX54" s="296"/>
      <c r="AY54" s="295"/>
      <c r="AZ54" s="296"/>
      <c r="BA54" s="289" t="s">
        <v>775</v>
      </c>
      <c r="BB54" s="284">
        <v>4</v>
      </c>
      <c r="BC54" s="296"/>
      <c r="BD54" s="295"/>
      <c r="BF54" s="289" t="s">
        <v>775</v>
      </c>
      <c r="BG54" s="284">
        <v>6</v>
      </c>
      <c r="BH54" s="296"/>
      <c r="BI54" s="295"/>
      <c r="BJ54" s="296"/>
      <c r="BL54" s="289" t="s">
        <v>775</v>
      </c>
      <c r="BM54" s="284">
        <v>4</v>
      </c>
      <c r="BN54" s="296"/>
      <c r="BO54" s="295"/>
      <c r="BQ54" s="289" t="s">
        <v>775</v>
      </c>
      <c r="BR54" s="284">
        <v>6</v>
      </c>
      <c r="BS54" s="296"/>
      <c r="BT54" s="295"/>
      <c r="BV54" s="289" t="s">
        <v>775</v>
      </c>
      <c r="BW54" s="284">
        <v>4</v>
      </c>
      <c r="BX54" s="296"/>
      <c r="BY54" s="295"/>
      <c r="CA54" s="289" t="s">
        <v>775</v>
      </c>
      <c r="CB54" s="284">
        <v>6</v>
      </c>
      <c r="CC54" s="296"/>
      <c r="CD54" s="295"/>
      <c r="CF54" s="289" t="s">
        <v>775</v>
      </c>
      <c r="CG54" s="284">
        <v>4</v>
      </c>
      <c r="CH54" s="296"/>
      <c r="CI54" s="295"/>
      <c r="CK54" s="289" t="s">
        <v>775</v>
      </c>
      <c r="CL54" s="284">
        <v>6</v>
      </c>
      <c r="CM54" s="296"/>
      <c r="CN54" s="295"/>
      <c r="CP54" s="289" t="s">
        <v>775</v>
      </c>
      <c r="CQ54" s="284">
        <v>4</v>
      </c>
      <c r="CR54" s="296"/>
      <c r="CS54" s="295"/>
      <c r="CU54" s="289" t="s">
        <v>775</v>
      </c>
      <c r="CV54" s="284">
        <v>0.25</v>
      </c>
      <c r="CW54" s="296"/>
      <c r="CX54" s="295"/>
      <c r="CZ54" s="289" t="s">
        <v>775</v>
      </c>
      <c r="DA54" s="284">
        <v>0.5</v>
      </c>
      <c r="DB54" s="296"/>
      <c r="DC54" s="295"/>
    </row>
    <row r="55" spans="1:107" ht="15" x14ac:dyDescent="0.15">
      <c r="A55" s="272"/>
      <c r="B55" s="578" t="s">
        <v>808</v>
      </c>
      <c r="C55" s="1136">
        <f>IF(AND(D55="",F55=""),"",IF(F55="",D55+E55,F55))</f>
        <v>4571.6445642669769</v>
      </c>
      <c r="D55" s="568">
        <f>IF(INDEX(55:55,$F$2)="","", INDEX(55:55, $F$2))</f>
        <v>4571.6445642669769</v>
      </c>
      <c r="E55" s="1107">
        <f>Lists!O145</f>
        <v>0</v>
      </c>
      <c r="F55" s="565"/>
      <c r="G55" s="297"/>
      <c r="H55" s="273"/>
      <c r="M55" s="604" t="s">
        <v>808</v>
      </c>
      <c r="N55" s="298">
        <f>3*(1-N53/100)/(N54*10^-4)*(N41/N47)/(N41/N47 + N42/N48 + N43/N49)</f>
        <v>4571.6445642669769</v>
      </c>
      <c r="O55" s="299"/>
      <c r="P55" s="276"/>
      <c r="R55" s="604" t="s">
        <v>808</v>
      </c>
      <c r="S55" s="298">
        <f>3*(1-S53/100)/(S54*10^-4)*(S41/S47)/(S41/S47 + S42/S48 + S43/S49)</f>
        <v>3600.3740648379044</v>
      </c>
      <c r="T55" s="299"/>
      <c r="U55" s="276"/>
      <c r="W55" s="604" t="s">
        <v>808</v>
      </c>
      <c r="X55" s="298">
        <f>3*(1-X53/100)/(X54*10^-4)*(X41/X47)/(X41/X47 + X42/X48 + X43/X49)</f>
        <v>4571.6445642669769</v>
      </c>
      <c r="Y55" s="299"/>
      <c r="Z55" s="276"/>
      <c r="AB55" s="604" t="s">
        <v>808</v>
      </c>
      <c r="AC55" s="298">
        <f>3*(1-AC53/100)/(AC54*10^-4)*(AC41/AC47)/(AC41/AC47 + AC42/AC48 + AC43/AC49)</f>
        <v>3600.3740648379044</v>
      </c>
      <c r="AD55" s="299"/>
      <c r="AE55" s="276"/>
      <c r="AG55" s="604" t="s">
        <v>808</v>
      </c>
      <c r="AH55" s="298">
        <f>3*(1-AH53/100)/(AH54*10^-4)*(AH41/AH47)/(AH41/AH47 + AH42/AH48 + AH43/AH49)</f>
        <v>4571.6445642669769</v>
      </c>
      <c r="AI55" s="299"/>
      <c r="AJ55" s="276"/>
      <c r="AL55" s="604" t="s">
        <v>808</v>
      </c>
      <c r="AM55" s="298">
        <f>3*(1-AM53/100)/(AM54*10^-4)*(AM41/AM47)/(AM41/AM47 + AM42/AM48 + AM43/AM49)</f>
        <v>3600.3740648379044</v>
      </c>
      <c r="AN55" s="299"/>
      <c r="AO55" s="276"/>
      <c r="AQ55" s="604" t="s">
        <v>808</v>
      </c>
      <c r="AR55" s="298">
        <f>3*(1-AR53/100)/(AR54*10^-4)*(AR41/AR47)/(AR41/AR47 + AR42/AR48 + AR43/AR49)</f>
        <v>4571.6445642669769</v>
      </c>
      <c r="AS55" s="299"/>
      <c r="AT55" s="276"/>
      <c r="AV55" s="604" t="s">
        <v>808</v>
      </c>
      <c r="AW55" s="298">
        <f>3*(1-AW53/100)/(AW54*10^-4)*(AW41/AW47)/(AW41/AW47 + AW42/AW48 + AW43/AW49)</f>
        <v>3600.3740648379044</v>
      </c>
      <c r="AX55" s="299"/>
      <c r="AY55" s="276"/>
      <c r="BA55" s="604" t="s">
        <v>808</v>
      </c>
      <c r="BB55" s="298">
        <f>3*(1-BB53/100)/(BB54*10^-4)*(BB41/BB47)/(BB41/BB47 + BB42/BB48 + BB43/BB49)</f>
        <v>4571.6445642669769</v>
      </c>
      <c r="BC55" s="299"/>
      <c r="BD55" s="276"/>
      <c r="BF55" s="604" t="s">
        <v>808</v>
      </c>
      <c r="BG55" s="298">
        <f>3*(1-BG53/100)/(BG54*10^-4)*(BG41/BG47)/(BG41/BG47 + BG42/BG48 + BG43/BG49)</f>
        <v>3600.3740648379044</v>
      </c>
      <c r="BH55" s="299"/>
      <c r="BI55" s="276"/>
      <c r="BL55" s="604" t="s">
        <v>808</v>
      </c>
      <c r="BM55" s="298">
        <f>3*(1-BM53/100)/(BM54*10^-4)*(BM41/BM47)/(BM41/BM47 + BM42/BM48 + BM43/BM49)</f>
        <v>4571.6445642669769</v>
      </c>
      <c r="BN55" s="299"/>
      <c r="BO55" s="276"/>
      <c r="BQ55" s="604" t="s">
        <v>808</v>
      </c>
      <c r="BR55" s="298">
        <f>3*(1-BR53/100)/(BR54*10^-4)*(BR41/BR47)/(BR41/BR47 + BR42/BR48 + BR43/BR49)</f>
        <v>3600.3740648379044</v>
      </c>
      <c r="BS55" s="299"/>
      <c r="BT55" s="276"/>
      <c r="BV55" s="604" t="s">
        <v>808</v>
      </c>
      <c r="BW55" s="298">
        <f>3*(1-BW53/100)/(BW54*10^-4)*(BW41/BW47)/(BW41/BW47 + BW42/BW48 + BW43/BW49)</f>
        <v>4571.6445642669769</v>
      </c>
      <c r="BX55" s="299"/>
      <c r="BY55" s="276"/>
      <c r="CA55" s="604" t="s">
        <v>808</v>
      </c>
      <c r="CB55" s="298">
        <f>3*(1-CB53/100)/(CB54*10^-4)*(CB41/CB47)/(CB41/CB47 + CB42/CB48 + CB43/CB49)</f>
        <v>3600.3740648379044</v>
      </c>
      <c r="CC55" s="299"/>
      <c r="CD55" s="276"/>
      <c r="CF55" s="604" t="s">
        <v>808</v>
      </c>
      <c r="CG55" s="298">
        <f>3*(1-CG53/100)/(CG54*10^-4)*(CG41/CG47)/(CG41/CG47 + CG42/CG48 + CG43/CG49)</f>
        <v>4571.6445642669769</v>
      </c>
      <c r="CH55" s="299"/>
      <c r="CI55" s="276"/>
      <c r="CK55" s="604" t="s">
        <v>808</v>
      </c>
      <c r="CL55" s="298">
        <f>3*(1-CL53/100)/(CL54*10^-4)*(CL41/CL47)/(CL41/CL47 + CL42/CL48 + CL43/CL49)</f>
        <v>3600.3740648379044</v>
      </c>
      <c r="CM55" s="299"/>
      <c r="CN55" s="276"/>
      <c r="CP55" s="604" t="s">
        <v>808</v>
      </c>
      <c r="CQ55" s="298">
        <f>3*(1-CQ53/100)/(CQ54*10^-4)*(CQ41/CQ47)/(CQ41/CQ47 + CQ42/CQ48 + CQ43/CQ49)</f>
        <v>4571.6445642669769</v>
      </c>
      <c r="CR55" s="299"/>
      <c r="CS55" s="276"/>
      <c r="CU55" s="604" t="s">
        <v>808</v>
      </c>
      <c r="CV55" s="298">
        <f>3*(1-CV53/100)/(CV54*10^-4)*(CV41/CV47)/(CV41/CV47 + CV42/CV48 + CV43/CV49)</f>
        <v>68423.493582771378</v>
      </c>
      <c r="CW55" s="299"/>
      <c r="CX55" s="276"/>
      <c r="CZ55" s="604" t="s">
        <v>808</v>
      </c>
      <c r="DA55" s="298">
        <f>3*(1-DA53/100)/(DA54*10^-4)*(DA41/DA47)/(DA41/DA47 + DA42/DA48 + DA43/DA49)</f>
        <v>40882.378893496869</v>
      </c>
      <c r="DB55" s="299"/>
      <c r="DC55" s="276"/>
    </row>
    <row r="56" spans="1:107" ht="18" x14ac:dyDescent="0.25">
      <c r="A56" s="272"/>
      <c r="B56" s="569" t="s">
        <v>809</v>
      </c>
      <c r="C56" s="580">
        <f>1/(C137/10000)/C55/(C142/1000*96485/8.314/298.15)</f>
        <v>0.5</v>
      </c>
      <c r="D56" s="568">
        <f>IF(INDEX(56:56,$F$2)="","", INDEX(56:56, $F$2))</f>
        <v>0.5</v>
      </c>
      <c r="E56" s="1107">
        <f>Lists!O146</f>
        <v>0</v>
      </c>
      <c r="F56" s="565"/>
      <c r="G56" s="293"/>
      <c r="H56" s="273"/>
      <c r="M56" s="283" t="s">
        <v>779</v>
      </c>
      <c r="N56" s="284">
        <v>0.5</v>
      </c>
      <c r="O56" s="296"/>
      <c r="P56" s="295"/>
      <c r="Q56" s="296"/>
      <c r="R56" s="283" t="s">
        <v>779</v>
      </c>
      <c r="S56" s="284">
        <v>0.5</v>
      </c>
      <c r="T56" s="296"/>
      <c r="U56" s="295"/>
      <c r="W56" s="283" t="s">
        <v>779</v>
      </c>
      <c r="X56" s="284">
        <v>0.5</v>
      </c>
      <c r="Y56" s="296"/>
      <c r="Z56" s="295"/>
      <c r="AB56" s="283" t="s">
        <v>779</v>
      </c>
      <c r="AC56" s="284">
        <v>0.5</v>
      </c>
      <c r="AD56" s="296"/>
      <c r="AE56" s="295"/>
      <c r="AF56" s="296"/>
      <c r="AG56" s="283" t="s">
        <v>779</v>
      </c>
      <c r="AH56" s="284">
        <v>0.5</v>
      </c>
      <c r="AI56" s="296"/>
      <c r="AJ56" s="295"/>
      <c r="AL56" s="283" t="s">
        <v>779</v>
      </c>
      <c r="AM56" s="284">
        <v>0.5</v>
      </c>
      <c r="AN56" s="296"/>
      <c r="AO56" s="295"/>
      <c r="AQ56" s="283" t="s">
        <v>779</v>
      </c>
      <c r="AR56" s="284">
        <v>0.5</v>
      </c>
      <c r="AS56" s="296"/>
      <c r="AT56" s="295"/>
      <c r="AV56" s="283" t="s">
        <v>779</v>
      </c>
      <c r="AW56" s="284">
        <v>0.5</v>
      </c>
      <c r="AX56" s="296"/>
      <c r="AY56" s="295"/>
      <c r="AZ56" s="296"/>
      <c r="BA56" s="283" t="s">
        <v>779</v>
      </c>
      <c r="BB56" s="284">
        <v>0.5</v>
      </c>
      <c r="BC56" s="296"/>
      <c r="BD56" s="295"/>
      <c r="BF56" s="283" t="s">
        <v>779</v>
      </c>
      <c r="BG56" s="284">
        <v>0.5</v>
      </c>
      <c r="BH56" s="296"/>
      <c r="BI56" s="295"/>
      <c r="BJ56" s="296"/>
      <c r="BL56" s="283" t="s">
        <v>779</v>
      </c>
      <c r="BM56" s="284">
        <v>0.5</v>
      </c>
      <c r="BN56" s="296"/>
      <c r="BO56" s="295"/>
      <c r="BQ56" s="283" t="s">
        <v>779</v>
      </c>
      <c r="BR56" s="284">
        <v>0.5</v>
      </c>
      <c r="BS56" s="296"/>
      <c r="BT56" s="295"/>
      <c r="BV56" s="283" t="s">
        <v>779</v>
      </c>
      <c r="BW56" s="284">
        <v>0.5</v>
      </c>
      <c r="BX56" s="296"/>
      <c r="BY56" s="295"/>
      <c r="CA56" s="283" t="s">
        <v>779</v>
      </c>
      <c r="CB56" s="284">
        <v>0.5</v>
      </c>
      <c r="CC56" s="296"/>
      <c r="CD56" s="295"/>
      <c r="CF56" s="283" t="s">
        <v>779</v>
      </c>
      <c r="CG56" s="284">
        <v>0.5</v>
      </c>
      <c r="CH56" s="296"/>
      <c r="CI56" s="295"/>
      <c r="CK56" s="283" t="s">
        <v>779</v>
      </c>
      <c r="CL56" s="284">
        <v>0.5</v>
      </c>
      <c r="CM56" s="296"/>
      <c r="CN56" s="295"/>
      <c r="CP56" s="283" t="s">
        <v>779</v>
      </c>
      <c r="CQ56" s="284">
        <v>0.5</v>
      </c>
      <c r="CR56" s="296"/>
      <c r="CS56" s="295"/>
      <c r="CU56" s="283" t="s">
        <v>779</v>
      </c>
      <c r="CV56" s="284">
        <v>0.1</v>
      </c>
      <c r="CW56" s="296"/>
      <c r="CX56" s="295"/>
      <c r="CZ56" s="283" t="s">
        <v>779</v>
      </c>
      <c r="DA56" s="284">
        <v>0.1</v>
      </c>
      <c r="DB56" s="296"/>
      <c r="DC56" s="295"/>
    </row>
    <row r="57" spans="1:107" x14ac:dyDescent="0.15">
      <c r="A57" s="272"/>
      <c r="B57" s="569"/>
      <c r="C57" s="580"/>
      <c r="D57" s="568"/>
      <c r="E57" s="568"/>
      <c r="F57" s="565"/>
      <c r="G57" s="293"/>
      <c r="H57" s="273"/>
      <c r="M57" s="292"/>
      <c r="N57" s="284"/>
      <c r="O57" s="296"/>
      <c r="P57" s="295"/>
      <c r="Q57" s="296"/>
      <c r="R57" s="292"/>
      <c r="S57" s="284"/>
      <c r="T57" s="296"/>
      <c r="U57" s="295"/>
      <c r="W57" s="292"/>
      <c r="X57" s="284"/>
      <c r="Y57" s="296"/>
      <c r="Z57" s="295"/>
      <c r="AB57" s="292"/>
      <c r="AC57" s="284"/>
      <c r="AD57" s="296"/>
      <c r="AE57" s="295"/>
      <c r="AF57" s="296"/>
      <c r="AG57" s="292"/>
      <c r="AH57" s="284"/>
      <c r="AI57" s="296"/>
      <c r="AJ57" s="295"/>
      <c r="AL57" s="292"/>
      <c r="AM57" s="284"/>
      <c r="AN57" s="296"/>
      <c r="AO57" s="295"/>
      <c r="AQ57" s="292"/>
      <c r="AR57" s="284"/>
      <c r="AS57" s="296"/>
      <c r="AT57" s="295"/>
      <c r="AV57" s="292"/>
      <c r="AW57" s="284"/>
      <c r="AX57" s="296"/>
      <c r="AY57" s="295"/>
      <c r="AZ57" s="296"/>
      <c r="BA57" s="292"/>
      <c r="BB57" s="284"/>
      <c r="BC57" s="296"/>
      <c r="BD57" s="295"/>
      <c r="BF57" s="292"/>
      <c r="BG57" s="284"/>
      <c r="BH57" s="296"/>
      <c r="BI57" s="295"/>
      <c r="BJ57" s="296"/>
      <c r="BL57" s="292"/>
      <c r="BM57" s="284"/>
      <c r="BN57" s="296"/>
      <c r="BO57" s="295"/>
      <c r="BQ57" s="292"/>
      <c r="BR57" s="284"/>
      <c r="BS57" s="296"/>
      <c r="BT57" s="295"/>
      <c r="BV57" s="292"/>
      <c r="BW57" s="284"/>
      <c r="BX57" s="296"/>
      <c r="BY57" s="295"/>
      <c r="CA57" s="292"/>
      <c r="CB57" s="284"/>
      <c r="CC57" s="296"/>
      <c r="CD57" s="295"/>
      <c r="CF57" s="292"/>
      <c r="CG57" s="284"/>
      <c r="CH57" s="296"/>
      <c r="CI57" s="295"/>
      <c r="CK57" s="292"/>
      <c r="CL57" s="284"/>
      <c r="CM57" s="296"/>
      <c r="CN57" s="295"/>
      <c r="CP57" s="292"/>
      <c r="CQ57" s="284"/>
      <c r="CR57" s="296"/>
      <c r="CS57" s="295"/>
      <c r="CU57" s="292"/>
      <c r="CV57" s="284"/>
      <c r="CW57" s="296"/>
      <c r="CX57" s="295"/>
      <c r="CZ57" s="292"/>
      <c r="DA57" s="284"/>
      <c r="DB57" s="296"/>
      <c r="DC57" s="295"/>
    </row>
    <row r="58" spans="1:107" ht="16" x14ac:dyDescent="0.2">
      <c r="A58" s="272"/>
      <c r="B58" s="591" t="s">
        <v>810</v>
      </c>
      <c r="C58" s="563" t="str">
        <f>IF(AND(D58="",F58=""),"",IF(F58="",D58,F58))</f>
        <v/>
      </c>
      <c r="D58" s="568" t="str">
        <f>IF(INDEX(58:58,$F$2)="","", INDEX(58:58, $F$2))</f>
        <v/>
      </c>
      <c r="E58" s="568"/>
      <c r="F58" s="565"/>
      <c r="G58" s="297"/>
      <c r="M58" s="285" t="s">
        <v>810</v>
      </c>
      <c r="N58" s="246"/>
      <c r="O58" s="299"/>
      <c r="P58" s="276"/>
      <c r="R58" s="285" t="s">
        <v>810</v>
      </c>
      <c r="S58" s="246"/>
      <c r="T58" s="299"/>
      <c r="U58" s="276"/>
      <c r="W58" s="285" t="s">
        <v>810</v>
      </c>
      <c r="X58" s="246"/>
      <c r="Y58" s="299"/>
      <c r="Z58" s="276"/>
      <c r="AB58" s="285" t="s">
        <v>810</v>
      </c>
      <c r="AC58" s="246"/>
      <c r="AD58" s="299"/>
      <c r="AE58" s="276"/>
      <c r="AG58" s="285" t="s">
        <v>810</v>
      </c>
      <c r="AH58" s="246"/>
      <c r="AI58" s="299"/>
      <c r="AJ58" s="276"/>
      <c r="AL58" s="285" t="s">
        <v>810</v>
      </c>
      <c r="AM58" s="246"/>
      <c r="AN58" s="299"/>
      <c r="AO58" s="276"/>
      <c r="AQ58" s="285" t="s">
        <v>810</v>
      </c>
      <c r="AR58" s="246"/>
      <c r="AS58" s="299"/>
      <c r="AT58" s="276"/>
      <c r="AV58" s="285" t="s">
        <v>810</v>
      </c>
      <c r="AW58" s="246"/>
      <c r="AX58" s="299"/>
      <c r="AY58" s="276"/>
      <c r="BA58" s="285" t="s">
        <v>810</v>
      </c>
      <c r="BB58" s="246"/>
      <c r="BC58" s="299"/>
      <c r="BD58" s="276"/>
      <c r="BF58" s="285" t="s">
        <v>810</v>
      </c>
      <c r="BG58" s="246"/>
      <c r="BH58" s="299"/>
      <c r="BI58" s="276"/>
      <c r="BL58" s="285" t="s">
        <v>810</v>
      </c>
      <c r="BM58" s="246"/>
      <c r="BN58" s="299"/>
      <c r="BO58" s="276"/>
      <c r="BQ58" s="285" t="s">
        <v>810</v>
      </c>
      <c r="BR58" s="246"/>
      <c r="BS58" s="299"/>
      <c r="BT58" s="276"/>
      <c r="BV58" s="285" t="s">
        <v>810</v>
      </c>
      <c r="BW58" s="246"/>
      <c r="BX58" s="299"/>
      <c r="BY58" s="276"/>
      <c r="CA58" s="285" t="s">
        <v>810</v>
      </c>
      <c r="CB58" s="246"/>
      <c r="CC58" s="299"/>
      <c r="CD58" s="276"/>
      <c r="CF58" s="285" t="s">
        <v>810</v>
      </c>
      <c r="CG58" s="246"/>
      <c r="CH58" s="299"/>
      <c r="CI58" s="276"/>
      <c r="CK58" s="285" t="s">
        <v>810</v>
      </c>
      <c r="CL58" s="246"/>
      <c r="CM58" s="299"/>
      <c r="CN58" s="276"/>
      <c r="CP58" s="285" t="s">
        <v>810</v>
      </c>
      <c r="CQ58" s="246"/>
      <c r="CR58" s="299"/>
      <c r="CS58" s="276"/>
      <c r="CU58" s="285" t="s">
        <v>810</v>
      </c>
      <c r="CV58" s="246"/>
      <c r="CW58" s="299"/>
      <c r="CX58" s="276"/>
      <c r="CZ58" s="285" t="s">
        <v>810</v>
      </c>
      <c r="DA58" s="246"/>
      <c r="DB58" s="299"/>
      <c r="DC58" s="276"/>
    </row>
    <row r="59" spans="1:107" x14ac:dyDescent="0.15">
      <c r="A59" s="272"/>
      <c r="B59" s="569" t="s">
        <v>811</v>
      </c>
      <c r="C59" s="1136" t="str">
        <f>IF(AND(D59="",F59=""),"",IF(F59="",D59,F59))</f>
        <v>Copper</v>
      </c>
      <c r="D59" s="568" t="str">
        <f>IF(INDEX(59:59,$F$2)="","", INDEX(59:59, $F$2))</f>
        <v>Copper</v>
      </c>
      <c r="E59" s="568"/>
      <c r="F59" s="565"/>
      <c r="G59" s="297"/>
      <c r="M59" s="283" t="s">
        <v>784</v>
      </c>
      <c r="N59" s="284" t="s">
        <v>812</v>
      </c>
      <c r="O59" s="299"/>
      <c r="P59" s="276"/>
      <c r="R59" s="283" t="s">
        <v>784</v>
      </c>
      <c r="S59" s="284" t="s">
        <v>812</v>
      </c>
      <c r="T59" s="299"/>
      <c r="U59" s="276"/>
      <c r="W59" s="283" t="s">
        <v>784</v>
      </c>
      <c r="X59" s="284" t="s">
        <v>812</v>
      </c>
      <c r="Y59" s="299"/>
      <c r="Z59" s="276"/>
      <c r="AB59" s="283" t="s">
        <v>784</v>
      </c>
      <c r="AC59" s="284" t="s">
        <v>812</v>
      </c>
      <c r="AD59" s="299"/>
      <c r="AE59" s="276"/>
      <c r="AG59" s="283" t="s">
        <v>784</v>
      </c>
      <c r="AH59" s="284" t="s">
        <v>812</v>
      </c>
      <c r="AI59" s="299"/>
      <c r="AJ59" s="276"/>
      <c r="AL59" s="283" t="s">
        <v>784</v>
      </c>
      <c r="AM59" s="284" t="s">
        <v>812</v>
      </c>
      <c r="AN59" s="299"/>
      <c r="AO59" s="276"/>
      <c r="AQ59" s="283" t="s">
        <v>784</v>
      </c>
      <c r="AR59" s="284" t="s">
        <v>812</v>
      </c>
      <c r="AS59" s="299"/>
      <c r="AT59" s="276"/>
      <c r="AV59" s="283" t="s">
        <v>784</v>
      </c>
      <c r="AW59" s="284" t="s">
        <v>812</v>
      </c>
      <c r="AX59" s="299"/>
      <c r="AY59" s="276"/>
      <c r="BA59" s="283" t="s">
        <v>784</v>
      </c>
      <c r="BB59" s="284" t="s">
        <v>812</v>
      </c>
      <c r="BC59" s="299"/>
      <c r="BD59" s="276"/>
      <c r="BF59" s="283" t="s">
        <v>784</v>
      </c>
      <c r="BG59" s="284" t="s">
        <v>812</v>
      </c>
      <c r="BH59" s="299"/>
      <c r="BI59" s="276"/>
      <c r="BL59" s="283" t="s">
        <v>784</v>
      </c>
      <c r="BM59" s="284" t="s">
        <v>812</v>
      </c>
      <c r="BN59" s="299"/>
      <c r="BO59" s="276"/>
      <c r="BQ59" s="283" t="s">
        <v>784</v>
      </c>
      <c r="BR59" s="284" t="s">
        <v>812</v>
      </c>
      <c r="BS59" s="299"/>
      <c r="BT59" s="276"/>
      <c r="BV59" s="283" t="s">
        <v>784</v>
      </c>
      <c r="BW59" s="284" t="s">
        <v>812</v>
      </c>
      <c r="BX59" s="299"/>
      <c r="BY59" s="276"/>
      <c r="CA59" s="283" t="s">
        <v>784</v>
      </c>
      <c r="CB59" s="284" t="s">
        <v>812</v>
      </c>
      <c r="CC59" s="299"/>
      <c r="CD59" s="276"/>
      <c r="CF59" s="283" t="s">
        <v>784</v>
      </c>
      <c r="CG59" s="284" t="s">
        <v>812</v>
      </c>
      <c r="CH59" s="299"/>
      <c r="CI59" s="276"/>
      <c r="CK59" s="283" t="s">
        <v>784</v>
      </c>
      <c r="CL59" s="284" t="s">
        <v>812</v>
      </c>
      <c r="CM59" s="299"/>
      <c r="CN59" s="276"/>
      <c r="CP59" s="283" t="s">
        <v>784</v>
      </c>
      <c r="CQ59" s="284" t="s">
        <v>812</v>
      </c>
      <c r="CR59" s="299"/>
      <c r="CS59" s="276"/>
      <c r="CU59" s="283" t="s">
        <v>784</v>
      </c>
      <c r="CV59" s="284" t="s">
        <v>785</v>
      </c>
      <c r="CW59" s="299"/>
      <c r="CX59" s="276"/>
      <c r="CZ59" s="283" t="s">
        <v>784</v>
      </c>
      <c r="DA59" s="284" t="s">
        <v>785</v>
      </c>
      <c r="DB59" s="299"/>
      <c r="DC59" s="276"/>
    </row>
    <row r="60" spans="1:107" ht="15" x14ac:dyDescent="0.2">
      <c r="A60" s="272"/>
      <c r="B60" s="569" t="s">
        <v>813</v>
      </c>
      <c r="C60" s="1136">
        <f>IF(NOT(Dashboard!E24=""),Dashboard!E24,IF(AND(D60="",F60=""),"",IF(F60="",D60,F60)))</f>
        <v>15</v>
      </c>
      <c r="D60" s="568">
        <f>IF(INDEX(60:60,$F$2)="","", INDEX(60:60, $F$2))</f>
        <v>15</v>
      </c>
      <c r="E60" s="568"/>
      <c r="F60" s="565"/>
      <c r="G60" s="297"/>
      <c r="M60" s="283" t="s">
        <v>787</v>
      </c>
      <c r="N60" s="284">
        <v>15</v>
      </c>
      <c r="O60" s="299"/>
      <c r="P60" s="276"/>
      <c r="R60" s="283" t="s">
        <v>787</v>
      </c>
      <c r="S60" s="284">
        <v>10</v>
      </c>
      <c r="T60" s="299"/>
      <c r="U60" s="276"/>
      <c r="W60" s="283" t="s">
        <v>787</v>
      </c>
      <c r="X60" s="284">
        <v>15</v>
      </c>
      <c r="Y60" s="299"/>
      <c r="Z60" s="276"/>
      <c r="AB60" s="283" t="s">
        <v>787</v>
      </c>
      <c r="AC60" s="284">
        <v>10</v>
      </c>
      <c r="AD60" s="299"/>
      <c r="AE60" s="276"/>
      <c r="AG60" s="283" t="s">
        <v>787</v>
      </c>
      <c r="AH60" s="284">
        <v>15</v>
      </c>
      <c r="AI60" s="299"/>
      <c r="AJ60" s="276"/>
      <c r="AL60" s="283" t="s">
        <v>787</v>
      </c>
      <c r="AM60" s="284">
        <v>10</v>
      </c>
      <c r="AN60" s="299"/>
      <c r="AO60" s="276"/>
      <c r="AQ60" s="283" t="s">
        <v>787</v>
      </c>
      <c r="AR60" s="284">
        <v>15</v>
      </c>
      <c r="AS60" s="299"/>
      <c r="AT60" s="276"/>
      <c r="AV60" s="283" t="s">
        <v>787</v>
      </c>
      <c r="AW60" s="284">
        <v>10</v>
      </c>
      <c r="AX60" s="299"/>
      <c r="AY60" s="276"/>
      <c r="BA60" s="283" t="s">
        <v>787</v>
      </c>
      <c r="BB60" s="284">
        <v>15</v>
      </c>
      <c r="BC60" s="299"/>
      <c r="BD60" s="276"/>
      <c r="BF60" s="283" t="s">
        <v>787</v>
      </c>
      <c r="BG60" s="284">
        <v>10</v>
      </c>
      <c r="BH60" s="299"/>
      <c r="BI60" s="276"/>
      <c r="BL60" s="283" t="s">
        <v>787</v>
      </c>
      <c r="BM60" s="284">
        <v>15</v>
      </c>
      <c r="BN60" s="299"/>
      <c r="BO60" s="276"/>
      <c r="BQ60" s="283" t="s">
        <v>787</v>
      </c>
      <c r="BR60" s="284">
        <v>10</v>
      </c>
      <c r="BS60" s="299"/>
      <c r="BT60" s="276"/>
      <c r="BV60" s="283" t="s">
        <v>787</v>
      </c>
      <c r="BW60" s="284">
        <v>15</v>
      </c>
      <c r="BX60" s="299"/>
      <c r="BY60" s="276"/>
      <c r="CA60" s="283" t="s">
        <v>787</v>
      </c>
      <c r="CB60" s="284">
        <v>10</v>
      </c>
      <c r="CC60" s="299"/>
      <c r="CD60" s="276"/>
      <c r="CF60" s="283" t="s">
        <v>787</v>
      </c>
      <c r="CG60" s="284">
        <v>15</v>
      </c>
      <c r="CH60" s="299"/>
      <c r="CI60" s="276"/>
      <c r="CK60" s="283" t="s">
        <v>787</v>
      </c>
      <c r="CL60" s="284">
        <v>10</v>
      </c>
      <c r="CM60" s="299"/>
      <c r="CN60" s="276"/>
      <c r="CP60" s="283" t="s">
        <v>787</v>
      </c>
      <c r="CQ60" s="284">
        <v>15</v>
      </c>
      <c r="CR60" s="299"/>
      <c r="CS60" s="276"/>
      <c r="CU60" s="283" t="s">
        <v>787</v>
      </c>
      <c r="CV60" s="284">
        <v>20</v>
      </c>
      <c r="CW60" s="299"/>
      <c r="CX60" s="276"/>
      <c r="CZ60" s="283" t="s">
        <v>787</v>
      </c>
      <c r="DA60" s="284">
        <v>15</v>
      </c>
      <c r="DB60" s="299"/>
      <c r="DC60" s="276"/>
    </row>
    <row r="61" spans="1:107" ht="15" thickBot="1" x14ac:dyDescent="0.2">
      <c r="A61" s="272"/>
      <c r="B61" s="566"/>
      <c r="C61" s="563"/>
      <c r="D61" s="564"/>
      <c r="E61" s="564"/>
      <c r="F61" s="565"/>
      <c r="G61" s="297"/>
      <c r="H61" s="273"/>
      <c r="M61" s="275"/>
      <c r="N61" s="258"/>
      <c r="O61" s="258"/>
      <c r="P61" s="276"/>
      <c r="R61" s="275"/>
      <c r="S61" s="258"/>
      <c r="T61" s="258"/>
      <c r="U61" s="276"/>
      <c r="W61" s="275"/>
      <c r="Z61" s="276"/>
      <c r="AB61" s="275"/>
      <c r="AE61" s="276"/>
      <c r="AG61" s="275"/>
      <c r="AJ61" s="276"/>
      <c r="AL61" s="275"/>
      <c r="AO61" s="276"/>
      <c r="AQ61" s="275"/>
      <c r="AT61" s="276"/>
      <c r="AV61" s="275"/>
      <c r="AY61" s="276"/>
      <c r="BA61" s="275"/>
      <c r="BD61" s="276"/>
      <c r="BF61" s="275"/>
      <c r="BI61" s="276"/>
      <c r="BL61" s="275"/>
      <c r="BO61" s="276"/>
      <c r="BQ61" s="275"/>
      <c r="BT61" s="276"/>
      <c r="BV61" s="275"/>
      <c r="BY61" s="276"/>
      <c r="CA61" s="275"/>
      <c r="CD61" s="276"/>
      <c r="CF61" s="275"/>
      <c r="CI61" s="276"/>
      <c r="CK61" s="275"/>
      <c r="CN61" s="276"/>
      <c r="CP61" s="275"/>
      <c r="CS61" s="276"/>
      <c r="CU61" s="275"/>
      <c r="CX61" s="276"/>
      <c r="CZ61" s="275"/>
      <c r="DC61" s="276"/>
    </row>
    <row r="62" spans="1:107" ht="19" thickBot="1" x14ac:dyDescent="0.25">
      <c r="A62" s="272"/>
      <c r="B62" s="440" t="s">
        <v>814</v>
      </c>
      <c r="C62" s="577"/>
      <c r="D62" s="577"/>
      <c r="E62" s="577"/>
      <c r="F62" s="577"/>
      <c r="G62" s="439"/>
      <c r="H62" s="273"/>
      <c r="M62" s="301" t="s">
        <v>814</v>
      </c>
      <c r="N62" s="284"/>
      <c r="O62" s="299"/>
      <c r="P62" s="276"/>
      <c r="R62" s="301" t="s">
        <v>814</v>
      </c>
      <c r="S62" s="284"/>
      <c r="T62" s="299"/>
      <c r="U62" s="276"/>
      <c r="W62" s="301" t="s">
        <v>814</v>
      </c>
      <c r="X62" s="284"/>
      <c r="Y62" s="299"/>
      <c r="Z62" s="276"/>
      <c r="AB62" s="301" t="s">
        <v>814</v>
      </c>
      <c r="AC62" s="284"/>
      <c r="AD62" s="299"/>
      <c r="AE62" s="276"/>
      <c r="AG62" s="301" t="s">
        <v>814</v>
      </c>
      <c r="AH62" s="284"/>
      <c r="AI62" s="299"/>
      <c r="AJ62" s="276"/>
      <c r="AL62" s="301" t="s">
        <v>814</v>
      </c>
      <c r="AM62" s="284"/>
      <c r="AN62" s="299"/>
      <c r="AO62" s="276"/>
      <c r="AQ62" s="301" t="s">
        <v>814</v>
      </c>
      <c r="AR62" s="284"/>
      <c r="AS62" s="299"/>
      <c r="AT62" s="276"/>
      <c r="AV62" s="301" t="s">
        <v>814</v>
      </c>
      <c r="AW62" s="284"/>
      <c r="AX62" s="299"/>
      <c r="AY62" s="276"/>
      <c r="BA62" s="301" t="s">
        <v>814</v>
      </c>
      <c r="BB62" s="284"/>
      <c r="BC62" s="299"/>
      <c r="BD62" s="276"/>
      <c r="BF62" s="301" t="s">
        <v>814</v>
      </c>
      <c r="BG62" s="284"/>
      <c r="BH62" s="299"/>
      <c r="BI62" s="276"/>
      <c r="BL62" s="301" t="s">
        <v>814</v>
      </c>
      <c r="BM62" s="284"/>
      <c r="BN62" s="299"/>
      <c r="BO62" s="276"/>
      <c r="BQ62" s="301" t="s">
        <v>814</v>
      </c>
      <c r="BR62" s="284"/>
      <c r="BS62" s="299"/>
      <c r="BT62" s="276"/>
      <c r="BV62" s="301" t="s">
        <v>814</v>
      </c>
      <c r="BW62" s="284"/>
      <c r="BX62" s="299"/>
      <c r="BY62" s="276"/>
      <c r="CA62" s="301" t="s">
        <v>814</v>
      </c>
      <c r="CB62" s="284"/>
      <c r="CC62" s="299"/>
      <c r="CD62" s="276"/>
      <c r="CF62" s="301" t="s">
        <v>814</v>
      </c>
      <c r="CG62" s="284"/>
      <c r="CH62" s="299"/>
      <c r="CI62" s="276"/>
      <c r="CK62" s="301" t="s">
        <v>814</v>
      </c>
      <c r="CL62" s="284"/>
      <c r="CM62" s="299"/>
      <c r="CN62" s="276"/>
      <c r="CP62" s="301" t="s">
        <v>814</v>
      </c>
      <c r="CQ62" s="284"/>
      <c r="CR62" s="299"/>
      <c r="CS62" s="276"/>
      <c r="CU62" s="301" t="s">
        <v>814</v>
      </c>
      <c r="CV62" s="284"/>
      <c r="CW62" s="299"/>
      <c r="CX62" s="276"/>
      <c r="CZ62" s="301" t="s">
        <v>814</v>
      </c>
      <c r="DA62" s="284"/>
      <c r="DB62" s="299"/>
      <c r="DC62" s="276"/>
    </row>
    <row r="63" spans="1:107" ht="15" x14ac:dyDescent="0.2">
      <c r="A63" s="272"/>
      <c r="B63" s="569" t="s">
        <v>815</v>
      </c>
      <c r="C63" s="1138">
        <f>IF(NOT(Dashboard!E26=""),Dashboard!E26,IF(AND(D63="",F63=""),"",IF(F63="",D63,F63)))</f>
        <v>15</v>
      </c>
      <c r="D63" s="571">
        <f>IF(INDEX(63:63,$F$2)="","", INDEX(63:63, $F$2))</f>
        <v>15</v>
      </c>
      <c r="E63" s="571"/>
      <c r="F63" s="565"/>
      <c r="G63" s="297"/>
      <c r="H63" s="273"/>
      <c r="M63" s="283" t="s">
        <v>787</v>
      </c>
      <c r="N63" s="284">
        <v>15</v>
      </c>
      <c r="O63" s="299"/>
      <c r="P63" s="276"/>
      <c r="R63" s="283" t="s">
        <v>787</v>
      </c>
      <c r="S63" s="284">
        <v>15</v>
      </c>
      <c r="T63" s="299"/>
      <c r="U63" s="276"/>
      <c r="W63" s="283" t="s">
        <v>787</v>
      </c>
      <c r="X63" s="284">
        <v>15</v>
      </c>
      <c r="Y63" s="299"/>
      <c r="Z63" s="276"/>
      <c r="AB63" s="283" t="s">
        <v>787</v>
      </c>
      <c r="AC63" s="284">
        <v>15</v>
      </c>
      <c r="AD63" s="299"/>
      <c r="AE63" s="276"/>
      <c r="AG63" s="283" t="s">
        <v>787</v>
      </c>
      <c r="AH63" s="284">
        <v>15</v>
      </c>
      <c r="AI63" s="299"/>
      <c r="AJ63" s="276"/>
      <c r="AL63" s="283" t="s">
        <v>787</v>
      </c>
      <c r="AM63" s="284">
        <v>15</v>
      </c>
      <c r="AN63" s="299"/>
      <c r="AO63" s="276"/>
      <c r="AQ63" s="283" t="s">
        <v>787</v>
      </c>
      <c r="AR63" s="284">
        <v>15</v>
      </c>
      <c r="AS63" s="299"/>
      <c r="AT63" s="276"/>
      <c r="AV63" s="283" t="s">
        <v>787</v>
      </c>
      <c r="AW63" s="284">
        <v>15</v>
      </c>
      <c r="AX63" s="299"/>
      <c r="AY63" s="276"/>
      <c r="BA63" s="283" t="s">
        <v>787</v>
      </c>
      <c r="BB63" s="284">
        <v>15</v>
      </c>
      <c r="BC63" s="299"/>
      <c r="BD63" s="276"/>
      <c r="BF63" s="283" t="s">
        <v>787</v>
      </c>
      <c r="BG63" s="284">
        <v>15</v>
      </c>
      <c r="BH63" s="299"/>
      <c r="BI63" s="276"/>
      <c r="BL63" s="283" t="s">
        <v>787</v>
      </c>
      <c r="BM63" s="284">
        <v>15</v>
      </c>
      <c r="BN63" s="299"/>
      <c r="BO63" s="276"/>
      <c r="BQ63" s="283" t="s">
        <v>787</v>
      </c>
      <c r="BR63" s="284">
        <v>15</v>
      </c>
      <c r="BS63" s="299"/>
      <c r="BT63" s="276"/>
      <c r="BV63" s="283" t="s">
        <v>787</v>
      </c>
      <c r="BW63" s="284">
        <v>15</v>
      </c>
      <c r="BX63" s="299"/>
      <c r="BY63" s="276"/>
      <c r="CA63" s="283" t="s">
        <v>787</v>
      </c>
      <c r="CB63" s="284">
        <v>15</v>
      </c>
      <c r="CC63" s="299"/>
      <c r="CD63" s="276"/>
      <c r="CF63" s="283" t="s">
        <v>787</v>
      </c>
      <c r="CG63" s="284">
        <v>15</v>
      </c>
      <c r="CH63" s="299"/>
      <c r="CI63" s="276"/>
      <c r="CK63" s="283" t="s">
        <v>787</v>
      </c>
      <c r="CL63" s="284">
        <v>15</v>
      </c>
      <c r="CM63" s="299"/>
      <c r="CN63" s="276"/>
      <c r="CP63" s="283" t="s">
        <v>787</v>
      </c>
      <c r="CQ63" s="284">
        <v>15</v>
      </c>
      <c r="CR63" s="299"/>
      <c r="CS63" s="276"/>
      <c r="CU63" s="283" t="s">
        <v>787</v>
      </c>
      <c r="CV63" s="284">
        <v>15</v>
      </c>
      <c r="CW63" s="299"/>
      <c r="CX63" s="276"/>
      <c r="CZ63" s="283" t="s">
        <v>787</v>
      </c>
      <c r="DA63" s="284">
        <v>15</v>
      </c>
      <c r="DB63" s="299"/>
      <c r="DC63" s="276"/>
    </row>
    <row r="64" spans="1:107" x14ac:dyDescent="0.15">
      <c r="A64" s="272"/>
      <c r="B64" s="569" t="s">
        <v>816</v>
      </c>
      <c r="C64" s="1136">
        <f>IF(AND(D64="",F64=""),"",IF(F64="",D64,F64))</f>
        <v>50</v>
      </c>
      <c r="D64" s="568">
        <f>IF(INDEX(64:64,$F$2)="","", INDEX(64:64, $F$2))</f>
        <v>50</v>
      </c>
      <c r="E64" s="568"/>
      <c r="F64" s="565"/>
      <c r="G64" s="297"/>
      <c r="H64" s="273"/>
      <c r="M64" s="283" t="s">
        <v>817</v>
      </c>
      <c r="N64" s="284">
        <v>50</v>
      </c>
      <c r="O64" s="299"/>
      <c r="P64" s="276"/>
      <c r="R64" s="283" t="s">
        <v>817</v>
      </c>
      <c r="S64" s="284">
        <v>50</v>
      </c>
      <c r="T64" s="299"/>
      <c r="U64" s="276"/>
      <c r="W64" s="283" t="s">
        <v>817</v>
      </c>
      <c r="X64" s="284">
        <v>50</v>
      </c>
      <c r="Y64" s="299"/>
      <c r="Z64" s="276"/>
      <c r="AB64" s="283" t="s">
        <v>817</v>
      </c>
      <c r="AC64" s="284">
        <v>50</v>
      </c>
      <c r="AD64" s="299"/>
      <c r="AE64" s="276"/>
      <c r="AG64" s="283" t="s">
        <v>817</v>
      </c>
      <c r="AH64" s="284">
        <v>50</v>
      </c>
      <c r="AI64" s="299"/>
      <c r="AJ64" s="276"/>
      <c r="AL64" s="283" t="s">
        <v>817</v>
      </c>
      <c r="AM64" s="284">
        <v>50</v>
      </c>
      <c r="AN64" s="299"/>
      <c r="AO64" s="276"/>
      <c r="AQ64" s="283" t="s">
        <v>817</v>
      </c>
      <c r="AR64" s="284">
        <v>50</v>
      </c>
      <c r="AS64" s="299"/>
      <c r="AT64" s="276"/>
      <c r="AV64" s="283" t="s">
        <v>817</v>
      </c>
      <c r="AW64" s="284">
        <v>50</v>
      </c>
      <c r="AX64" s="299"/>
      <c r="AY64" s="276"/>
      <c r="BA64" s="283" t="s">
        <v>817</v>
      </c>
      <c r="BB64" s="284">
        <v>50</v>
      </c>
      <c r="BC64" s="299"/>
      <c r="BD64" s="276"/>
      <c r="BF64" s="283" t="s">
        <v>817</v>
      </c>
      <c r="BG64" s="284">
        <v>50</v>
      </c>
      <c r="BH64" s="299"/>
      <c r="BI64" s="276"/>
      <c r="BL64" s="283" t="s">
        <v>817</v>
      </c>
      <c r="BM64" s="284">
        <v>50</v>
      </c>
      <c r="BN64" s="299"/>
      <c r="BO64" s="276"/>
      <c r="BQ64" s="283" t="s">
        <v>817</v>
      </c>
      <c r="BR64" s="284">
        <v>50</v>
      </c>
      <c r="BS64" s="299"/>
      <c r="BT64" s="276"/>
      <c r="BV64" s="283" t="s">
        <v>817</v>
      </c>
      <c r="BW64" s="284">
        <v>50</v>
      </c>
      <c r="BX64" s="299"/>
      <c r="BY64" s="276"/>
      <c r="CA64" s="283" t="s">
        <v>817</v>
      </c>
      <c r="CB64" s="284">
        <v>50</v>
      </c>
      <c r="CC64" s="299"/>
      <c r="CD64" s="276"/>
      <c r="CF64" s="283" t="s">
        <v>817</v>
      </c>
      <c r="CG64" s="284">
        <v>50</v>
      </c>
      <c r="CH64" s="299"/>
      <c r="CI64" s="276"/>
      <c r="CK64" s="283" t="s">
        <v>817</v>
      </c>
      <c r="CL64" s="284">
        <v>50</v>
      </c>
      <c r="CM64" s="299"/>
      <c r="CN64" s="276"/>
      <c r="CP64" s="283" t="s">
        <v>817</v>
      </c>
      <c r="CQ64" s="284">
        <v>50</v>
      </c>
      <c r="CR64" s="299"/>
      <c r="CS64" s="276"/>
      <c r="CU64" s="283" t="s">
        <v>817</v>
      </c>
      <c r="CV64" s="284">
        <v>50</v>
      </c>
      <c r="CW64" s="299"/>
      <c r="CX64" s="276"/>
      <c r="CZ64" s="283" t="s">
        <v>817</v>
      </c>
      <c r="DA64" s="284">
        <v>50</v>
      </c>
      <c r="DB64" s="299"/>
      <c r="DC64" s="276"/>
    </row>
    <row r="65" spans="1:107" ht="15" x14ac:dyDescent="0.15">
      <c r="A65" s="272"/>
      <c r="B65" s="569" t="s">
        <v>818</v>
      </c>
      <c r="C65" s="1133">
        <f>IF(AND(D65="",F65=""),"",IF(F65="",D65,F65))</f>
        <v>0.47299999999999998</v>
      </c>
      <c r="D65" s="564">
        <f>IF(INDEX(65:65,$F$2)="","", INDEX(65:65, $F$2))</f>
        <v>0.47299999999999998</v>
      </c>
      <c r="E65" s="564"/>
      <c r="F65" s="565"/>
      <c r="G65" s="297"/>
      <c r="H65" s="273"/>
      <c r="M65" s="283" t="s">
        <v>819</v>
      </c>
      <c r="N65" s="281">
        <f>(1-N64/100)*_rho_PP</f>
        <v>0.47299999999999998</v>
      </c>
      <c r="O65" s="299"/>
      <c r="P65" s="276"/>
      <c r="R65" s="283" t="s">
        <v>819</v>
      </c>
      <c r="S65" s="281">
        <f>(1-S64/100)*_rho_PP</f>
        <v>0.47299999999999998</v>
      </c>
      <c r="T65" s="299"/>
      <c r="U65" s="276"/>
      <c r="W65" s="283" t="s">
        <v>819</v>
      </c>
      <c r="X65" s="281">
        <f>(1-X64/100)*_rho_PP</f>
        <v>0.47299999999999998</v>
      </c>
      <c r="Y65" s="299"/>
      <c r="Z65" s="276"/>
      <c r="AB65" s="283" t="s">
        <v>819</v>
      </c>
      <c r="AC65" s="281">
        <f>(1-AC64/100)*_rho_PP</f>
        <v>0.47299999999999998</v>
      </c>
      <c r="AD65" s="299"/>
      <c r="AE65" s="276"/>
      <c r="AG65" s="283" t="s">
        <v>819</v>
      </c>
      <c r="AH65" s="281">
        <f>(1-AH64/100)*_rho_PP</f>
        <v>0.47299999999999998</v>
      </c>
      <c r="AI65" s="299"/>
      <c r="AJ65" s="276"/>
      <c r="AL65" s="283" t="s">
        <v>819</v>
      </c>
      <c r="AM65" s="281">
        <f>(1-AM64/100)*_rho_PP</f>
        <v>0.47299999999999998</v>
      </c>
      <c r="AN65" s="299"/>
      <c r="AO65" s="276"/>
      <c r="AQ65" s="283" t="s">
        <v>819</v>
      </c>
      <c r="AR65" s="281">
        <f>(1-AR64/100)*_rho_PP</f>
        <v>0.47299999999999998</v>
      </c>
      <c r="AS65" s="299"/>
      <c r="AT65" s="276"/>
      <c r="AV65" s="283" t="s">
        <v>819</v>
      </c>
      <c r="AW65" s="281">
        <f>(1-AW64/100)*_rho_PP</f>
        <v>0.47299999999999998</v>
      </c>
      <c r="AX65" s="299"/>
      <c r="AY65" s="276"/>
      <c r="BA65" s="283" t="s">
        <v>819</v>
      </c>
      <c r="BB65" s="281">
        <f>(1-BB64/100)*_rho_PP</f>
        <v>0.47299999999999998</v>
      </c>
      <c r="BC65" s="299"/>
      <c r="BD65" s="276"/>
      <c r="BF65" s="283" t="s">
        <v>819</v>
      </c>
      <c r="BG65" s="281">
        <f>(1-BG64/100)*_rho_PP</f>
        <v>0.47299999999999998</v>
      </c>
      <c r="BH65" s="299"/>
      <c r="BI65" s="276"/>
      <c r="BL65" s="283" t="s">
        <v>819</v>
      </c>
      <c r="BM65" s="281">
        <f>(1-BM64/100)*_rho_PP</f>
        <v>0.47299999999999998</v>
      </c>
      <c r="BN65" s="299"/>
      <c r="BO65" s="276"/>
      <c r="BQ65" s="283" t="s">
        <v>819</v>
      </c>
      <c r="BR65" s="281">
        <f>(1-BR64/100)*_rho_PP</f>
        <v>0.47299999999999998</v>
      </c>
      <c r="BS65" s="299"/>
      <c r="BT65" s="276"/>
      <c r="BV65" s="283" t="s">
        <v>819</v>
      </c>
      <c r="BW65" s="281">
        <f>(1-BW64/100)*_rho_PP</f>
        <v>0.47299999999999998</v>
      </c>
      <c r="BX65" s="299"/>
      <c r="BY65" s="276"/>
      <c r="CA65" s="283" t="s">
        <v>819</v>
      </c>
      <c r="CB65" s="281">
        <f>(1-CB64/100)*_rho_PP</f>
        <v>0.47299999999999998</v>
      </c>
      <c r="CC65" s="299"/>
      <c r="CD65" s="276"/>
      <c r="CF65" s="283" t="s">
        <v>819</v>
      </c>
      <c r="CG65" s="281">
        <f>(1-CG64/100)*_rho_PP</f>
        <v>0.47299999999999998</v>
      </c>
      <c r="CH65" s="299"/>
      <c r="CI65" s="276"/>
      <c r="CK65" s="283" t="s">
        <v>819</v>
      </c>
      <c r="CL65" s="281">
        <f>(1-CL64/100)*_rho_PP</f>
        <v>0.47299999999999998</v>
      </c>
      <c r="CM65" s="299"/>
      <c r="CN65" s="276"/>
      <c r="CP65" s="283" t="s">
        <v>819</v>
      </c>
      <c r="CQ65" s="281">
        <f>(1-CQ64/100)*_rho_PP</f>
        <v>0.47299999999999998</v>
      </c>
      <c r="CR65" s="299"/>
      <c r="CS65" s="276"/>
      <c r="CU65" s="283" t="s">
        <v>819</v>
      </c>
      <c r="CV65" s="281">
        <f>(1-CV64/100)*_rho_PP</f>
        <v>0.47299999999999998</v>
      </c>
      <c r="CW65" s="299"/>
      <c r="CX65" s="276"/>
      <c r="CZ65" s="283" t="s">
        <v>819</v>
      </c>
      <c r="DA65" s="281">
        <f>(1-DA64/100)*_rho_PP</f>
        <v>0.47299999999999998</v>
      </c>
      <c r="DB65" s="299"/>
      <c r="DC65" s="276"/>
    </row>
    <row r="66" spans="1:107" ht="15" thickBot="1" x14ac:dyDescent="0.2">
      <c r="A66" s="272"/>
      <c r="B66" s="569"/>
      <c r="C66" s="563"/>
      <c r="D66" s="564"/>
      <c r="E66" s="564"/>
      <c r="F66" s="565"/>
      <c r="G66" s="297"/>
      <c r="H66" s="273"/>
      <c r="M66" s="283"/>
      <c r="N66" s="281"/>
      <c r="O66" s="299"/>
      <c r="P66" s="276"/>
      <c r="R66" s="283"/>
      <c r="S66" s="281"/>
      <c r="T66" s="299"/>
      <c r="U66" s="276"/>
      <c r="W66" s="283"/>
      <c r="X66" s="281"/>
      <c r="Y66" s="299"/>
      <c r="Z66" s="276"/>
      <c r="AB66" s="283"/>
      <c r="AC66" s="281"/>
      <c r="AD66" s="299"/>
      <c r="AE66" s="276"/>
      <c r="AG66" s="283"/>
      <c r="AH66" s="281"/>
      <c r="AI66" s="299"/>
      <c r="AJ66" s="276"/>
      <c r="AL66" s="283"/>
      <c r="AM66" s="281"/>
      <c r="AN66" s="299"/>
      <c r="AO66" s="276"/>
      <c r="AQ66" s="283"/>
      <c r="AR66" s="281"/>
      <c r="AS66" s="299"/>
      <c r="AT66" s="276"/>
      <c r="AV66" s="283"/>
      <c r="AW66" s="281"/>
      <c r="AX66" s="299"/>
      <c r="AY66" s="276"/>
      <c r="BA66" s="283"/>
      <c r="BB66" s="281"/>
      <c r="BC66" s="299"/>
      <c r="BD66" s="276"/>
      <c r="BF66" s="283"/>
      <c r="BG66" s="281"/>
      <c r="BH66" s="299"/>
      <c r="BI66" s="276"/>
      <c r="BL66" s="283"/>
      <c r="BM66" s="281"/>
      <c r="BN66" s="299"/>
      <c r="BO66" s="276"/>
      <c r="BQ66" s="283"/>
      <c r="BR66" s="281"/>
      <c r="BS66" s="299"/>
      <c r="BT66" s="276"/>
      <c r="BV66" s="283"/>
      <c r="BW66" s="281"/>
      <c r="BX66" s="299"/>
      <c r="BY66" s="276"/>
      <c r="CA66" s="283"/>
      <c r="CB66" s="281"/>
      <c r="CC66" s="299"/>
      <c r="CD66" s="276"/>
      <c r="CF66" s="283"/>
      <c r="CG66" s="281"/>
      <c r="CH66" s="299"/>
      <c r="CI66" s="276"/>
      <c r="CK66" s="283"/>
      <c r="CL66" s="281"/>
      <c r="CM66" s="299"/>
      <c r="CN66" s="276"/>
      <c r="CP66" s="283"/>
      <c r="CQ66" s="281"/>
      <c r="CR66" s="299"/>
      <c r="CS66" s="276"/>
      <c r="CU66" s="283"/>
      <c r="CV66" s="281"/>
      <c r="CW66" s="299"/>
      <c r="CX66" s="276"/>
      <c r="CZ66" s="283"/>
      <c r="DA66" s="281"/>
      <c r="DB66" s="299"/>
      <c r="DC66" s="276"/>
    </row>
    <row r="67" spans="1:107" ht="19" thickBot="1" x14ac:dyDescent="0.25">
      <c r="A67" s="272"/>
      <c r="B67" s="440" t="s">
        <v>820</v>
      </c>
      <c r="C67" s="577"/>
      <c r="D67" s="577"/>
      <c r="E67" s="577"/>
      <c r="F67" s="577"/>
      <c r="G67" s="439"/>
      <c r="H67" s="273"/>
      <c r="M67" s="301" t="s">
        <v>821</v>
      </c>
      <c r="N67" s="281"/>
      <c r="O67" s="299"/>
      <c r="P67" s="276"/>
      <c r="R67" s="301" t="s">
        <v>821</v>
      </c>
      <c r="S67" s="281"/>
      <c r="T67" s="299"/>
      <c r="U67" s="276"/>
      <c r="W67" s="301" t="s">
        <v>821</v>
      </c>
      <c r="X67" s="281"/>
      <c r="Y67" s="299"/>
      <c r="Z67" s="276"/>
      <c r="AB67" s="301" t="s">
        <v>821</v>
      </c>
      <c r="AC67" s="281"/>
      <c r="AD67" s="299"/>
      <c r="AE67" s="276"/>
      <c r="AG67" s="301" t="s">
        <v>821</v>
      </c>
      <c r="AH67" s="281"/>
      <c r="AI67" s="299"/>
      <c r="AJ67" s="276"/>
      <c r="AL67" s="301" t="s">
        <v>821</v>
      </c>
      <c r="AM67" s="281"/>
      <c r="AN67" s="299"/>
      <c r="AO67" s="276"/>
      <c r="AQ67" s="301" t="s">
        <v>821</v>
      </c>
      <c r="AR67" s="281"/>
      <c r="AS67" s="299"/>
      <c r="AT67" s="276"/>
      <c r="AV67" s="301" t="s">
        <v>821</v>
      </c>
      <c r="AW67" s="281"/>
      <c r="AX67" s="299"/>
      <c r="AY67" s="276"/>
      <c r="BA67" s="301" t="s">
        <v>821</v>
      </c>
      <c r="BB67" s="281"/>
      <c r="BC67" s="299"/>
      <c r="BD67" s="276"/>
      <c r="BF67" s="301" t="s">
        <v>821</v>
      </c>
      <c r="BG67" s="281"/>
      <c r="BH67" s="299"/>
      <c r="BI67" s="276"/>
      <c r="BL67" s="301" t="s">
        <v>821</v>
      </c>
      <c r="BM67" s="281"/>
      <c r="BN67" s="299"/>
      <c r="BO67" s="276"/>
      <c r="BQ67" s="301" t="s">
        <v>821</v>
      </c>
      <c r="BR67" s="281"/>
      <c r="BS67" s="299"/>
      <c r="BT67" s="276"/>
      <c r="BV67" s="301" t="s">
        <v>821</v>
      </c>
      <c r="BW67" s="281"/>
      <c r="BX67" s="299"/>
      <c r="BY67" s="276"/>
      <c r="CA67" s="301" t="s">
        <v>821</v>
      </c>
      <c r="CB67" s="281"/>
      <c r="CC67" s="299"/>
      <c r="CD67" s="276"/>
      <c r="CF67" s="301" t="s">
        <v>821</v>
      </c>
      <c r="CG67" s="281"/>
      <c r="CH67" s="299"/>
      <c r="CI67" s="276"/>
      <c r="CK67" s="301" t="s">
        <v>821</v>
      </c>
      <c r="CL67" s="281"/>
      <c r="CM67" s="299"/>
      <c r="CN67" s="276"/>
      <c r="CP67" s="301" t="s">
        <v>821</v>
      </c>
      <c r="CQ67" s="281"/>
      <c r="CR67" s="299"/>
      <c r="CS67" s="276"/>
      <c r="CU67" s="301" t="s">
        <v>821</v>
      </c>
      <c r="CV67" s="281"/>
      <c r="CW67" s="299"/>
      <c r="CX67" s="276"/>
      <c r="CZ67" s="301" t="s">
        <v>821</v>
      </c>
      <c r="DA67" s="281"/>
      <c r="DB67" s="299"/>
      <c r="DC67" s="276"/>
    </row>
    <row r="68" spans="1:107" x14ac:dyDescent="0.15">
      <c r="A68" s="272"/>
      <c r="B68" s="566" t="s">
        <v>822</v>
      </c>
      <c r="C68" s="1138">
        <f>IF(AND(D68="",F68=""),"",IF(F68="",D68,F68))</f>
        <v>1.2</v>
      </c>
      <c r="D68" s="564">
        <f>IF(INDEX(68:68,$F$2)="","", INDEX(68:68, $F$2))</f>
        <v>1.2</v>
      </c>
      <c r="E68" s="564"/>
      <c r="F68" s="565"/>
      <c r="G68" s="297"/>
      <c r="H68" s="273"/>
      <c r="M68" s="275" t="s">
        <v>822</v>
      </c>
      <c r="N68" s="281">
        <v>1.2</v>
      </c>
      <c r="O68" s="299"/>
      <c r="P68" s="276"/>
      <c r="R68" s="275" t="s">
        <v>822</v>
      </c>
      <c r="S68" s="281">
        <v>1.2</v>
      </c>
      <c r="T68" s="299"/>
      <c r="U68" s="276"/>
      <c r="W68" s="275" t="s">
        <v>822</v>
      </c>
      <c r="X68" s="281">
        <v>1.2</v>
      </c>
      <c r="Y68" s="299"/>
      <c r="Z68" s="276"/>
      <c r="AB68" s="275" t="s">
        <v>822</v>
      </c>
      <c r="AC68" s="281">
        <v>1.2</v>
      </c>
      <c r="AD68" s="299"/>
      <c r="AE68" s="276"/>
      <c r="AG68" s="275" t="s">
        <v>822</v>
      </c>
      <c r="AH68" s="281">
        <v>1.2</v>
      </c>
      <c r="AI68" s="299"/>
      <c r="AJ68" s="276"/>
      <c r="AL68" s="275" t="s">
        <v>822</v>
      </c>
      <c r="AM68" s="281">
        <v>1.2</v>
      </c>
      <c r="AN68" s="299"/>
      <c r="AO68" s="276"/>
      <c r="AQ68" s="275" t="s">
        <v>822</v>
      </c>
      <c r="AR68" s="281">
        <v>1.2</v>
      </c>
      <c r="AS68" s="299"/>
      <c r="AT68" s="276"/>
      <c r="AV68" s="275" t="s">
        <v>822</v>
      </c>
      <c r="AW68" s="281">
        <v>1.2</v>
      </c>
      <c r="AX68" s="299"/>
      <c r="AY68" s="276"/>
      <c r="BA68" s="275" t="s">
        <v>822</v>
      </c>
      <c r="BB68" s="281">
        <v>1.2</v>
      </c>
      <c r="BC68" s="299"/>
      <c r="BD68" s="276"/>
      <c r="BF68" s="275" t="s">
        <v>822</v>
      </c>
      <c r="BG68" s="281">
        <v>1.2</v>
      </c>
      <c r="BH68" s="299"/>
      <c r="BI68" s="276"/>
      <c r="BL68" s="275" t="s">
        <v>822</v>
      </c>
      <c r="BM68" s="281">
        <v>1.2</v>
      </c>
      <c r="BN68" s="299"/>
      <c r="BO68" s="276"/>
      <c r="BQ68" s="275" t="s">
        <v>822</v>
      </c>
      <c r="BR68" s="281">
        <v>1.2</v>
      </c>
      <c r="BS68" s="299"/>
      <c r="BT68" s="276"/>
      <c r="BV68" s="275" t="s">
        <v>822</v>
      </c>
      <c r="BW68" s="281">
        <v>1.2</v>
      </c>
      <c r="BX68" s="299"/>
      <c r="BY68" s="276"/>
      <c r="CA68" s="275" t="s">
        <v>822</v>
      </c>
      <c r="CB68" s="281">
        <v>1.2</v>
      </c>
      <c r="CC68" s="299"/>
      <c r="CD68" s="276"/>
      <c r="CF68" s="275" t="s">
        <v>822</v>
      </c>
      <c r="CG68" s="281">
        <v>1.2</v>
      </c>
      <c r="CH68" s="299"/>
      <c r="CI68" s="276"/>
      <c r="CK68" s="275" t="s">
        <v>822</v>
      </c>
      <c r="CL68" s="281">
        <v>1.2</v>
      </c>
      <c r="CM68" s="299"/>
      <c r="CN68" s="276"/>
      <c r="CP68" s="275" t="s">
        <v>822</v>
      </c>
      <c r="CQ68" s="281">
        <v>1.2</v>
      </c>
      <c r="CR68" s="299"/>
      <c r="CS68" s="276"/>
      <c r="CU68" s="275" t="s">
        <v>822</v>
      </c>
      <c r="CV68" s="281">
        <v>1.2</v>
      </c>
      <c r="CW68" s="299"/>
      <c r="CX68" s="276"/>
      <c r="CZ68" s="275" t="s">
        <v>822</v>
      </c>
      <c r="DA68" s="281">
        <v>1.2</v>
      </c>
      <c r="DB68" s="299"/>
      <c r="DC68" s="276"/>
    </row>
    <row r="69" spans="1:107" x14ac:dyDescent="0.15">
      <c r="A69" s="272"/>
      <c r="B69" s="566" t="s">
        <v>823</v>
      </c>
      <c r="C69" s="1134">
        <f>IF(AND(D69="",F69=""),"",IF(F69="",D69,F69))</f>
        <v>8.3279999999999994</v>
      </c>
      <c r="D69" s="564">
        <f>IF(INDEX(69:69,$F$2)="","", INDEX(69:69, $F$2))</f>
        <v>8.3279999999999994</v>
      </c>
      <c r="E69" s="564"/>
      <c r="F69" s="565"/>
      <c r="G69" s="306"/>
      <c r="M69" s="275" t="s">
        <v>823</v>
      </c>
      <c r="N69" s="736">
        <f>1.2*6.94</f>
        <v>8.3279999999999994</v>
      </c>
      <c r="O69" s="299"/>
      <c r="P69" s="308"/>
      <c r="Q69" s="299"/>
      <c r="R69" s="275" t="s">
        <v>823</v>
      </c>
      <c r="S69" s="736">
        <f>1.2*6.94</f>
        <v>8.3279999999999994</v>
      </c>
      <c r="T69" s="299"/>
      <c r="U69" s="308"/>
      <c r="W69" s="275" t="s">
        <v>823</v>
      </c>
      <c r="X69" s="736">
        <f>1.2*6.94</f>
        <v>8.3279999999999994</v>
      </c>
      <c r="Y69" s="299"/>
      <c r="Z69" s="308"/>
      <c r="AB69" s="275" t="s">
        <v>823</v>
      </c>
      <c r="AC69" s="736">
        <f>1.2*6.94</f>
        <v>8.3279999999999994</v>
      </c>
      <c r="AD69" s="299"/>
      <c r="AE69" s="308"/>
      <c r="AF69" s="299"/>
      <c r="AG69" s="275" t="s">
        <v>823</v>
      </c>
      <c r="AH69" s="736">
        <f>1.2*6.94</f>
        <v>8.3279999999999994</v>
      </c>
      <c r="AI69" s="299"/>
      <c r="AJ69" s="308"/>
      <c r="AL69" s="275" t="s">
        <v>823</v>
      </c>
      <c r="AM69" s="736">
        <f>1.2*6.94</f>
        <v>8.3279999999999994</v>
      </c>
      <c r="AN69" s="299"/>
      <c r="AO69" s="308"/>
      <c r="AQ69" s="275" t="s">
        <v>823</v>
      </c>
      <c r="AR69" s="736">
        <f>1.2*6.94</f>
        <v>8.3279999999999994</v>
      </c>
      <c r="AS69" s="299"/>
      <c r="AT69" s="308"/>
      <c r="AV69" s="275" t="s">
        <v>823</v>
      </c>
      <c r="AW69" s="736">
        <f>1.2*6.94</f>
        <v>8.3279999999999994</v>
      </c>
      <c r="AX69" s="299"/>
      <c r="AY69" s="308"/>
      <c r="AZ69" s="299"/>
      <c r="BA69" s="275" t="s">
        <v>823</v>
      </c>
      <c r="BB69" s="736">
        <f>1.2*6.94</f>
        <v>8.3279999999999994</v>
      </c>
      <c r="BC69" s="299"/>
      <c r="BD69" s="308"/>
      <c r="BF69" s="275" t="s">
        <v>823</v>
      </c>
      <c r="BG69" s="736">
        <f>1.2*6.94</f>
        <v>8.3279999999999994</v>
      </c>
      <c r="BH69" s="299"/>
      <c r="BI69" s="308"/>
      <c r="BJ69" s="299"/>
      <c r="BL69" s="275" t="s">
        <v>823</v>
      </c>
      <c r="BM69" s="736">
        <f>1.2*6.94</f>
        <v>8.3279999999999994</v>
      </c>
      <c r="BN69" s="299"/>
      <c r="BO69" s="308"/>
      <c r="BQ69" s="275" t="s">
        <v>823</v>
      </c>
      <c r="BR69" s="736">
        <f>1.2*6.94</f>
        <v>8.3279999999999994</v>
      </c>
      <c r="BS69" s="299"/>
      <c r="BT69" s="308"/>
      <c r="BV69" s="275" t="s">
        <v>823</v>
      </c>
      <c r="BW69" s="736">
        <f>1.2*6.94</f>
        <v>8.3279999999999994</v>
      </c>
      <c r="BX69" s="299"/>
      <c r="BY69" s="308"/>
      <c r="CA69" s="275" t="s">
        <v>823</v>
      </c>
      <c r="CB69" s="736">
        <f>1.2*6.94</f>
        <v>8.3279999999999994</v>
      </c>
      <c r="CC69" s="299"/>
      <c r="CD69" s="308"/>
      <c r="CF69" s="275" t="s">
        <v>823</v>
      </c>
      <c r="CG69" s="736">
        <f>1.2*6.94</f>
        <v>8.3279999999999994</v>
      </c>
      <c r="CH69" s="299"/>
      <c r="CI69" s="308"/>
      <c r="CK69" s="275" t="s">
        <v>823</v>
      </c>
      <c r="CL69" s="736">
        <f>1.2*6.94</f>
        <v>8.3279999999999994</v>
      </c>
      <c r="CM69" s="299"/>
      <c r="CN69" s="308"/>
      <c r="CP69" s="275" t="s">
        <v>823</v>
      </c>
      <c r="CQ69" s="736">
        <f>1.2*6.94</f>
        <v>8.3279999999999994</v>
      </c>
      <c r="CR69" s="299"/>
      <c r="CS69" s="308"/>
      <c r="CU69" s="275" t="s">
        <v>823</v>
      </c>
      <c r="CV69" s="736">
        <f>1.2*6.94</f>
        <v>8.3279999999999994</v>
      </c>
      <c r="CW69" s="299"/>
      <c r="CX69" s="308"/>
      <c r="CZ69" s="275" t="s">
        <v>823</v>
      </c>
      <c r="DA69" s="736">
        <f>1.2*6.94</f>
        <v>8.3279999999999994</v>
      </c>
      <c r="DB69" s="299"/>
      <c r="DC69" s="308"/>
    </row>
    <row r="70" spans="1:107" x14ac:dyDescent="0.15">
      <c r="A70" s="272"/>
      <c r="B70" s="569" t="s">
        <v>824</v>
      </c>
      <c r="C70" s="1136">
        <f>IF(AND(D70="",F70=""),"",IF(F70="",D70,F70))</f>
        <v>100</v>
      </c>
      <c r="D70" s="564">
        <f>IF(INDEX(70:70,$F$2)="","", INDEX(70:70, $F$2))</f>
        <v>100</v>
      </c>
      <c r="E70" s="564"/>
      <c r="F70" s="565"/>
      <c r="G70" s="297"/>
      <c r="H70" s="273"/>
      <c r="M70" s="283" t="s">
        <v>824</v>
      </c>
      <c r="N70" s="303">
        <v>100</v>
      </c>
      <c r="O70" s="299"/>
      <c r="P70" s="276"/>
      <c r="R70" s="283" t="s">
        <v>824</v>
      </c>
      <c r="S70" s="303">
        <v>100</v>
      </c>
      <c r="T70" s="299"/>
      <c r="U70" s="276"/>
      <c r="W70" s="283" t="s">
        <v>824</v>
      </c>
      <c r="X70" s="303">
        <v>100</v>
      </c>
      <c r="Y70" s="299"/>
      <c r="Z70" s="276"/>
      <c r="AB70" s="283" t="s">
        <v>824</v>
      </c>
      <c r="AC70" s="303">
        <v>100</v>
      </c>
      <c r="AD70" s="299"/>
      <c r="AE70" s="276"/>
      <c r="AG70" s="283" t="s">
        <v>824</v>
      </c>
      <c r="AH70" s="303">
        <v>100</v>
      </c>
      <c r="AI70" s="299"/>
      <c r="AJ70" s="276"/>
      <c r="AL70" s="283" t="s">
        <v>824</v>
      </c>
      <c r="AM70" s="303">
        <v>100</v>
      </c>
      <c r="AN70" s="299"/>
      <c r="AO70" s="276"/>
      <c r="AQ70" s="283" t="s">
        <v>824</v>
      </c>
      <c r="AR70" s="303">
        <v>100</v>
      </c>
      <c r="AS70" s="299"/>
      <c r="AT70" s="276"/>
      <c r="AV70" s="283" t="s">
        <v>824</v>
      </c>
      <c r="AW70" s="303">
        <v>100</v>
      </c>
      <c r="AX70" s="299"/>
      <c r="AY70" s="276"/>
      <c r="BA70" s="283" t="s">
        <v>824</v>
      </c>
      <c r="BB70" s="303">
        <v>100</v>
      </c>
      <c r="BC70" s="299"/>
      <c r="BD70" s="276"/>
      <c r="BF70" s="283" t="s">
        <v>824</v>
      </c>
      <c r="BG70" s="303">
        <v>100</v>
      </c>
      <c r="BH70" s="299"/>
      <c r="BI70" s="276"/>
      <c r="BL70" s="283" t="s">
        <v>824</v>
      </c>
      <c r="BM70" s="303">
        <v>100</v>
      </c>
      <c r="BN70" s="299"/>
      <c r="BO70" s="276"/>
      <c r="BQ70" s="283" t="s">
        <v>824</v>
      </c>
      <c r="BR70" s="303">
        <v>100</v>
      </c>
      <c r="BS70" s="299"/>
      <c r="BT70" s="276"/>
      <c r="BV70" s="283" t="s">
        <v>824</v>
      </c>
      <c r="BW70" s="303">
        <v>100</v>
      </c>
      <c r="BX70" s="299"/>
      <c r="BY70" s="276"/>
      <c r="CA70" s="283" t="s">
        <v>824</v>
      </c>
      <c r="CB70" s="303">
        <v>100</v>
      </c>
      <c r="CC70" s="299"/>
      <c r="CD70" s="276"/>
      <c r="CF70" s="283" t="s">
        <v>824</v>
      </c>
      <c r="CG70" s="303">
        <v>100</v>
      </c>
      <c r="CH70" s="299"/>
      <c r="CI70" s="276"/>
      <c r="CK70" s="283" t="s">
        <v>824</v>
      </c>
      <c r="CL70" s="303">
        <v>100</v>
      </c>
      <c r="CM70" s="299"/>
      <c r="CN70" s="276"/>
      <c r="CP70" s="283" t="s">
        <v>824</v>
      </c>
      <c r="CQ70" s="303">
        <v>100</v>
      </c>
      <c r="CR70" s="299"/>
      <c r="CS70" s="276"/>
      <c r="CU70" s="283" t="s">
        <v>824</v>
      </c>
      <c r="CV70" s="303">
        <v>100</v>
      </c>
      <c r="CW70" s="299"/>
      <c r="CX70" s="276"/>
      <c r="CZ70" s="283" t="s">
        <v>824</v>
      </c>
      <c r="DA70" s="303">
        <v>100</v>
      </c>
      <c r="DB70" s="299"/>
      <c r="DC70" s="276"/>
    </row>
    <row r="71" spans="1:107" ht="15" thickBot="1" x14ac:dyDescent="0.2">
      <c r="A71" s="272"/>
      <c r="B71" s="569"/>
      <c r="C71" s="563"/>
      <c r="D71" s="564"/>
      <c r="E71" s="564"/>
      <c r="F71" s="565"/>
      <c r="G71" s="297"/>
      <c r="H71" s="273"/>
      <c r="M71" s="283"/>
      <c r="N71" s="281"/>
      <c r="O71" s="299"/>
      <c r="P71" s="276"/>
      <c r="R71" s="283"/>
      <c r="S71" s="281"/>
      <c r="T71" s="299"/>
      <c r="U71" s="276"/>
      <c r="W71" s="283"/>
      <c r="X71" s="281"/>
      <c r="Y71" s="299"/>
      <c r="Z71" s="276"/>
      <c r="AB71" s="283"/>
      <c r="AC71" s="281"/>
      <c r="AD71" s="299"/>
      <c r="AE71" s="276"/>
      <c r="AG71" s="283"/>
      <c r="AH71" s="281"/>
      <c r="AI71" s="299"/>
      <c r="AJ71" s="276"/>
      <c r="AL71" s="283"/>
      <c r="AM71" s="281"/>
      <c r="AN71" s="299"/>
      <c r="AO71" s="276"/>
      <c r="AQ71" s="283"/>
      <c r="AR71" s="281"/>
      <c r="AS71" s="299"/>
      <c r="AT71" s="276"/>
      <c r="AV71" s="283"/>
      <c r="AW71" s="281"/>
      <c r="AX71" s="299"/>
      <c r="AY71" s="276"/>
      <c r="BA71" s="283"/>
      <c r="BB71" s="281"/>
      <c r="BC71" s="299"/>
      <c r="BD71" s="276"/>
      <c r="BF71" s="283"/>
      <c r="BG71" s="281"/>
      <c r="BH71" s="299"/>
      <c r="BI71" s="276"/>
      <c r="BL71" s="283"/>
      <c r="BM71" s="281"/>
      <c r="BN71" s="299"/>
      <c r="BO71" s="276"/>
      <c r="BQ71" s="283"/>
      <c r="BR71" s="281"/>
      <c r="BS71" s="299"/>
      <c r="BT71" s="276"/>
      <c r="BV71" s="283"/>
      <c r="BW71" s="281"/>
      <c r="BX71" s="299"/>
      <c r="BY71" s="276"/>
      <c r="CA71" s="283"/>
      <c r="CB71" s="281"/>
      <c r="CC71" s="299"/>
      <c r="CD71" s="276"/>
      <c r="CF71" s="283"/>
      <c r="CG71" s="281"/>
      <c r="CH71" s="299"/>
      <c r="CI71" s="276"/>
      <c r="CK71" s="283"/>
      <c r="CL71" s="281"/>
      <c r="CM71" s="299"/>
      <c r="CN71" s="276"/>
      <c r="CP71" s="283"/>
      <c r="CQ71" s="281"/>
      <c r="CR71" s="299"/>
      <c r="CS71" s="276"/>
      <c r="CU71" s="283"/>
      <c r="CV71" s="281"/>
      <c r="CW71" s="299"/>
      <c r="CX71" s="276"/>
      <c r="CZ71" s="283"/>
      <c r="DA71" s="281"/>
      <c r="DB71" s="299"/>
      <c r="DC71" s="276"/>
    </row>
    <row r="72" spans="1:107" ht="19" thickBot="1" x14ac:dyDescent="0.25">
      <c r="A72" s="272"/>
      <c r="B72" s="440" t="s">
        <v>331</v>
      </c>
      <c r="C72" s="577"/>
      <c r="D72" s="577"/>
      <c r="E72" s="577"/>
      <c r="F72" s="577"/>
      <c r="G72" s="439"/>
      <c r="H72" s="273"/>
      <c r="M72" s="283"/>
      <c r="N72" s="281"/>
      <c r="O72" s="299"/>
      <c r="P72" s="276"/>
      <c r="R72" s="283"/>
      <c r="S72" s="281"/>
      <c r="T72" s="299"/>
      <c r="U72" s="276"/>
      <c r="W72" s="283"/>
      <c r="X72" s="281"/>
      <c r="Y72" s="299"/>
      <c r="Z72" s="276"/>
      <c r="AB72" s="283"/>
      <c r="AC72" s="281"/>
      <c r="AD72" s="299"/>
      <c r="AE72" s="276"/>
      <c r="AG72" s="283"/>
      <c r="AH72" s="281"/>
      <c r="AI72" s="299"/>
      <c r="AJ72" s="276"/>
      <c r="AL72" s="283"/>
      <c r="AM72" s="281"/>
      <c r="AN72" s="299"/>
      <c r="AO72" s="276"/>
      <c r="AQ72" s="283"/>
      <c r="AR72" s="281"/>
      <c r="AS72" s="299"/>
      <c r="AT72" s="276"/>
      <c r="AV72" s="283"/>
      <c r="AW72" s="281"/>
      <c r="AX72" s="299"/>
      <c r="AY72" s="276"/>
      <c r="BA72" s="283"/>
      <c r="BB72" s="281"/>
      <c r="BC72" s="299"/>
      <c r="BD72" s="276"/>
      <c r="BF72" s="283"/>
      <c r="BG72" s="281"/>
      <c r="BH72" s="299"/>
      <c r="BI72" s="276"/>
      <c r="BL72" s="283"/>
      <c r="BM72" s="281"/>
      <c r="BN72" s="299"/>
      <c r="BO72" s="276"/>
      <c r="BQ72" s="283"/>
      <c r="BR72" s="281"/>
      <c r="BS72" s="299"/>
      <c r="BT72" s="276"/>
      <c r="BV72" s="283"/>
      <c r="BW72" s="281"/>
      <c r="BX72" s="299"/>
      <c r="BY72" s="276"/>
      <c r="CA72" s="283"/>
      <c r="CB72" s="281"/>
      <c r="CC72" s="299"/>
      <c r="CD72" s="276"/>
      <c r="CF72" s="283"/>
      <c r="CG72" s="281"/>
      <c r="CH72" s="299"/>
      <c r="CI72" s="276"/>
      <c r="CK72" s="283"/>
      <c r="CL72" s="281"/>
      <c r="CM72" s="299"/>
      <c r="CN72" s="276"/>
      <c r="CP72" s="283"/>
      <c r="CQ72" s="281"/>
      <c r="CR72" s="299"/>
      <c r="CS72" s="276"/>
      <c r="CU72" s="283"/>
      <c r="CV72" s="281"/>
      <c r="CW72" s="299"/>
      <c r="CX72" s="276"/>
      <c r="CZ72" s="283"/>
      <c r="DA72" s="281"/>
      <c r="DB72" s="299"/>
      <c r="DC72" s="276"/>
    </row>
    <row r="73" spans="1:107" x14ac:dyDescent="0.15">
      <c r="A73" s="272"/>
      <c r="B73" s="581" t="s">
        <v>825</v>
      </c>
      <c r="C73" s="563"/>
      <c r="D73" s="564"/>
      <c r="E73" s="564"/>
      <c r="F73" s="565"/>
      <c r="G73" s="297"/>
      <c r="H73" s="273"/>
      <c r="M73" s="283"/>
      <c r="N73" s="281"/>
      <c r="O73" s="299"/>
      <c r="P73" s="276"/>
      <c r="R73" s="283"/>
      <c r="S73" s="281"/>
      <c r="T73" s="299"/>
      <c r="U73" s="276"/>
      <c r="W73" s="283"/>
      <c r="X73" s="281"/>
      <c r="Y73" s="299"/>
      <c r="Z73" s="276"/>
      <c r="AB73" s="283"/>
      <c r="AC73" s="281"/>
      <c r="AD73" s="299"/>
      <c r="AE73" s="276"/>
      <c r="AG73" s="283"/>
      <c r="AH73" s="281"/>
      <c r="AI73" s="299"/>
      <c r="AJ73" s="276"/>
      <c r="AL73" s="283"/>
      <c r="AM73" s="281"/>
      <c r="AN73" s="299"/>
      <c r="AO73" s="276"/>
      <c r="AQ73" s="283"/>
      <c r="AR73" s="281"/>
      <c r="AS73" s="299"/>
      <c r="AT73" s="276"/>
      <c r="AV73" s="283"/>
      <c r="AW73" s="281"/>
      <c r="AX73" s="299"/>
      <c r="AY73" s="276"/>
      <c r="BA73" s="283"/>
      <c r="BB73" s="281"/>
      <c r="BC73" s="299"/>
      <c r="BD73" s="276"/>
      <c r="BF73" s="283"/>
      <c r="BG73" s="281"/>
      <c r="BH73" s="299"/>
      <c r="BI73" s="276"/>
      <c r="BL73" s="283"/>
      <c r="BM73" s="281"/>
      <c r="BN73" s="299"/>
      <c r="BO73" s="276"/>
      <c r="BQ73" s="283"/>
      <c r="BR73" s="281"/>
      <c r="BS73" s="299"/>
      <c r="BT73" s="276"/>
      <c r="BV73" s="283"/>
      <c r="BW73" s="281"/>
      <c r="BX73" s="299"/>
      <c r="BY73" s="276"/>
      <c r="CA73" s="283"/>
      <c r="CB73" s="281"/>
      <c r="CC73" s="299"/>
      <c r="CD73" s="276"/>
      <c r="CF73" s="283"/>
      <c r="CG73" s="281"/>
      <c r="CH73" s="299"/>
      <c r="CI73" s="276"/>
      <c r="CK73" s="283"/>
      <c r="CL73" s="281"/>
      <c r="CM73" s="299"/>
      <c r="CN73" s="276"/>
      <c r="CP73" s="283"/>
      <c r="CQ73" s="281"/>
      <c r="CR73" s="299"/>
      <c r="CS73" s="276"/>
      <c r="CU73" s="283"/>
      <c r="CV73" s="281"/>
      <c r="CW73" s="299"/>
      <c r="CX73" s="276"/>
      <c r="CZ73" s="283"/>
      <c r="DA73" s="281"/>
      <c r="DB73" s="299"/>
      <c r="DC73" s="276"/>
    </row>
    <row r="74" spans="1:107" x14ac:dyDescent="0.15">
      <c r="A74" s="272"/>
      <c r="B74" s="576" t="s">
        <v>826</v>
      </c>
      <c r="C74" s="573" t="str">
        <f t="shared" ref="C74:C84" si="0">IF(AND(D74="",F74=""),"",IF(F74="",D74,F74))</f>
        <v/>
      </c>
      <c r="D74" s="564"/>
      <c r="E74" s="564"/>
      <c r="F74" s="565"/>
      <c r="G74" s="297"/>
      <c r="H74" s="273"/>
      <c r="M74" s="301" t="s">
        <v>826</v>
      </c>
      <c r="N74" s="281"/>
      <c r="O74" s="299"/>
      <c r="P74" s="276"/>
      <c r="R74" s="301" t="s">
        <v>826</v>
      </c>
      <c r="S74" s="281"/>
      <c r="T74" s="299"/>
      <c r="U74" s="276"/>
      <c r="W74" s="301" t="s">
        <v>826</v>
      </c>
      <c r="X74" s="281"/>
      <c r="Y74" s="299"/>
      <c r="Z74" s="276"/>
      <c r="AB74" s="301" t="s">
        <v>826</v>
      </c>
      <c r="AC74" s="281"/>
      <c r="AD74" s="299"/>
      <c r="AE74" s="276"/>
      <c r="AG74" s="301" t="s">
        <v>826</v>
      </c>
      <c r="AH74" s="281"/>
      <c r="AI74" s="299"/>
      <c r="AJ74" s="276"/>
      <c r="AL74" s="301" t="s">
        <v>826</v>
      </c>
      <c r="AM74" s="281"/>
      <c r="AN74" s="299"/>
      <c r="AO74" s="276"/>
      <c r="AQ74" s="301" t="s">
        <v>826</v>
      </c>
      <c r="AR74" s="281"/>
      <c r="AS74" s="299"/>
      <c r="AT74" s="276"/>
      <c r="AV74" s="301" t="s">
        <v>826</v>
      </c>
      <c r="AW74" s="281"/>
      <c r="AX74" s="299"/>
      <c r="AY74" s="276"/>
      <c r="BA74" s="301" t="s">
        <v>826</v>
      </c>
      <c r="BB74" s="281"/>
      <c r="BC74" s="299"/>
      <c r="BD74" s="276"/>
      <c r="BF74" s="301" t="s">
        <v>826</v>
      </c>
      <c r="BG74" s="281"/>
      <c r="BH74" s="299"/>
      <c r="BI74" s="276"/>
      <c r="BL74" s="301" t="s">
        <v>826</v>
      </c>
      <c r="BM74" s="281"/>
      <c r="BN74" s="299"/>
      <c r="BO74" s="276"/>
      <c r="BQ74" s="301" t="s">
        <v>826</v>
      </c>
      <c r="BR74" s="281"/>
      <c r="BS74" s="299"/>
      <c r="BT74" s="276"/>
      <c r="BV74" s="301" t="s">
        <v>826</v>
      </c>
      <c r="BW74" s="281"/>
      <c r="BX74" s="299"/>
      <c r="BY74" s="276"/>
      <c r="CA74" s="301" t="s">
        <v>826</v>
      </c>
      <c r="CB74" s="281"/>
      <c r="CC74" s="299"/>
      <c r="CD74" s="276"/>
      <c r="CF74" s="301" t="s">
        <v>826</v>
      </c>
      <c r="CG74" s="281"/>
      <c r="CH74" s="299"/>
      <c r="CI74" s="276"/>
      <c r="CK74" s="301" t="s">
        <v>826</v>
      </c>
      <c r="CL74" s="281"/>
      <c r="CM74" s="299"/>
      <c r="CN74" s="276"/>
      <c r="CP74" s="301" t="s">
        <v>826</v>
      </c>
      <c r="CQ74" s="281"/>
      <c r="CR74" s="299"/>
      <c r="CS74" s="276"/>
      <c r="CU74" s="301" t="s">
        <v>826</v>
      </c>
      <c r="CV74" s="281"/>
      <c r="CW74" s="299"/>
      <c r="CX74" s="276"/>
      <c r="CZ74" s="301" t="s">
        <v>826</v>
      </c>
      <c r="DA74" s="281"/>
      <c r="DB74" s="299"/>
      <c r="DC74" s="276"/>
    </row>
    <row r="75" spans="1:107" x14ac:dyDescent="0.15">
      <c r="A75" s="272"/>
      <c r="B75" s="569" t="s">
        <v>827</v>
      </c>
      <c r="C75" s="563" t="str">
        <f t="shared" si="0"/>
        <v>None</v>
      </c>
      <c r="D75" s="568" t="str" cm="1">
        <f t="array" ref="D75">IF(INDEX(75:75,$F$2)="","", INDEX(75:75, $F$2))</f>
        <v>None</v>
      </c>
      <c r="E75" s="568"/>
      <c r="F75" s="565"/>
      <c r="G75" s="590"/>
      <c r="H75" s="273"/>
      <c r="M75" s="283" t="s">
        <v>827</v>
      </c>
      <c r="N75" s="281" t="s">
        <v>828</v>
      </c>
      <c r="O75" s="299"/>
      <c r="P75" s="276"/>
      <c r="R75" s="283" t="s">
        <v>827</v>
      </c>
      <c r="S75" s="281" t="s">
        <v>828</v>
      </c>
      <c r="T75" s="299"/>
      <c r="U75" s="276"/>
      <c r="W75" s="283" t="s">
        <v>827</v>
      </c>
      <c r="X75" s="281" t="s">
        <v>828</v>
      </c>
      <c r="Y75" s="299"/>
      <c r="Z75" s="276"/>
      <c r="AB75" s="283" t="s">
        <v>827</v>
      </c>
      <c r="AC75" s="281" t="s">
        <v>828</v>
      </c>
      <c r="AD75" s="299"/>
      <c r="AE75" s="276"/>
      <c r="AG75" s="283" t="s">
        <v>827</v>
      </c>
      <c r="AH75" s="281" t="s">
        <v>828</v>
      </c>
      <c r="AI75" s="299"/>
      <c r="AJ75" s="276"/>
      <c r="AL75" s="283" t="s">
        <v>827</v>
      </c>
      <c r="AM75" s="281" t="s">
        <v>828</v>
      </c>
      <c r="AN75" s="299"/>
      <c r="AO75" s="276"/>
      <c r="AQ75" s="283" t="s">
        <v>827</v>
      </c>
      <c r="AR75" s="281" t="s">
        <v>828</v>
      </c>
      <c r="AS75" s="299"/>
      <c r="AT75" s="276"/>
      <c r="AV75" s="283" t="s">
        <v>827</v>
      </c>
      <c r="AW75" s="281" t="s">
        <v>828</v>
      </c>
      <c r="AX75" s="299"/>
      <c r="AY75" s="276"/>
      <c r="BA75" s="283" t="s">
        <v>827</v>
      </c>
      <c r="BB75" s="281" t="s">
        <v>828</v>
      </c>
      <c r="BC75" s="299"/>
      <c r="BD75" s="276"/>
      <c r="BF75" s="283" t="s">
        <v>827</v>
      </c>
      <c r="BG75" s="281" t="s">
        <v>828</v>
      </c>
      <c r="BH75" s="299"/>
      <c r="BI75" s="276"/>
      <c r="BL75" s="283" t="s">
        <v>827</v>
      </c>
      <c r="BM75" s="281" t="s">
        <v>828</v>
      </c>
      <c r="BN75" s="299"/>
      <c r="BO75" s="276"/>
      <c r="BQ75" s="283" t="s">
        <v>827</v>
      </c>
      <c r="BR75" s="281" t="s">
        <v>828</v>
      </c>
      <c r="BS75" s="299"/>
      <c r="BT75" s="276"/>
      <c r="BV75" s="283" t="s">
        <v>827</v>
      </c>
      <c r="BW75" s="281" t="s">
        <v>828</v>
      </c>
      <c r="BY75" s="276"/>
      <c r="CA75" s="283" t="s">
        <v>827</v>
      </c>
      <c r="CB75" s="281" t="s">
        <v>828</v>
      </c>
      <c r="CD75" s="276"/>
      <c r="CF75" s="283" t="s">
        <v>827</v>
      </c>
      <c r="CG75" s="281" t="s">
        <v>828</v>
      </c>
      <c r="CH75" s="299"/>
      <c r="CI75" s="276"/>
      <c r="CK75" s="283" t="s">
        <v>827</v>
      </c>
      <c r="CL75" s="281" t="s">
        <v>828</v>
      </c>
      <c r="CM75" s="299"/>
      <c r="CN75" s="276"/>
      <c r="CP75" s="283" t="s">
        <v>827</v>
      </c>
      <c r="CQ75" s="281" t="s">
        <v>828</v>
      </c>
      <c r="CR75" s="299"/>
      <c r="CS75" s="276"/>
      <c r="CU75" s="283" t="s">
        <v>827</v>
      </c>
      <c r="CV75" s="281" t="s">
        <v>828</v>
      </c>
      <c r="CW75" s="299"/>
      <c r="CX75" s="276"/>
      <c r="CZ75" s="283" t="s">
        <v>827</v>
      </c>
      <c r="DA75" s="281" t="s">
        <v>828</v>
      </c>
      <c r="DB75" s="299"/>
      <c r="DC75" s="276"/>
    </row>
    <row r="76" spans="1:107" x14ac:dyDescent="0.15">
      <c r="A76" s="272"/>
      <c r="B76" s="569" t="s">
        <v>829</v>
      </c>
      <c r="C76" s="582">
        <f t="shared" si="0"/>
        <v>0</v>
      </c>
      <c r="D76" s="568" cm="1">
        <f t="array" ref="D76">IF(INDEX(76:76,$F$2)="","", INDEX(76:76, $F$2))</f>
        <v>0</v>
      </c>
      <c r="E76" s="568"/>
      <c r="F76" s="583"/>
      <c r="G76" s="590"/>
      <c r="H76" s="273"/>
      <c r="M76" s="283" t="s">
        <v>830</v>
      </c>
      <c r="N76" s="281">
        <v>0</v>
      </c>
      <c r="O76" s="299"/>
      <c r="P76" s="276"/>
      <c r="R76" s="283" t="s">
        <v>830</v>
      </c>
      <c r="S76" s="281">
        <v>0</v>
      </c>
      <c r="T76" s="299"/>
      <c r="U76" s="276"/>
      <c r="W76" s="283" t="s">
        <v>830</v>
      </c>
      <c r="X76" s="281">
        <v>0</v>
      </c>
      <c r="Y76" s="299"/>
      <c r="Z76" s="276"/>
      <c r="AB76" s="283" t="s">
        <v>830</v>
      </c>
      <c r="AC76" s="281">
        <v>0</v>
      </c>
      <c r="AD76" s="299"/>
      <c r="AE76" s="276"/>
      <c r="AG76" s="283" t="s">
        <v>830</v>
      </c>
      <c r="AH76" s="281">
        <v>0</v>
      </c>
      <c r="AI76" s="299"/>
      <c r="AJ76" s="276"/>
      <c r="AL76" s="283" t="s">
        <v>830</v>
      </c>
      <c r="AM76" s="281">
        <v>0</v>
      </c>
      <c r="AN76" s="299"/>
      <c r="AO76" s="276"/>
      <c r="AQ76" s="283" t="s">
        <v>830</v>
      </c>
      <c r="AR76" s="281">
        <v>0</v>
      </c>
      <c r="AS76" s="299"/>
      <c r="AT76" s="276"/>
      <c r="AV76" s="283" t="s">
        <v>830</v>
      </c>
      <c r="AW76" s="281">
        <v>0</v>
      </c>
      <c r="AX76" s="299"/>
      <c r="AY76" s="276"/>
      <c r="BA76" s="283" t="s">
        <v>830</v>
      </c>
      <c r="BB76" s="281">
        <v>0</v>
      </c>
      <c r="BC76" s="299"/>
      <c r="BD76" s="276"/>
      <c r="BF76" s="283" t="s">
        <v>830</v>
      </c>
      <c r="BG76" s="281">
        <v>0</v>
      </c>
      <c r="BH76" s="299"/>
      <c r="BI76" s="276"/>
      <c r="BL76" s="283" t="s">
        <v>830</v>
      </c>
      <c r="BM76" s="281">
        <v>0</v>
      </c>
      <c r="BN76" s="299"/>
      <c r="BO76" s="276"/>
      <c r="BQ76" s="283" t="s">
        <v>830</v>
      </c>
      <c r="BR76" s="281">
        <v>0</v>
      </c>
      <c r="BS76" s="299"/>
      <c r="BT76" s="276"/>
      <c r="BV76" s="283" t="s">
        <v>830</v>
      </c>
      <c r="BW76" s="281">
        <v>0</v>
      </c>
      <c r="BY76" s="276"/>
      <c r="CA76" s="283" t="s">
        <v>830</v>
      </c>
      <c r="CB76" s="281">
        <v>0</v>
      </c>
      <c r="CD76" s="276"/>
      <c r="CF76" s="283" t="s">
        <v>830</v>
      </c>
      <c r="CG76" s="281">
        <v>0</v>
      </c>
      <c r="CH76" s="299"/>
      <c r="CI76" s="276"/>
      <c r="CK76" s="283" t="s">
        <v>830</v>
      </c>
      <c r="CL76" s="281">
        <v>0</v>
      </c>
      <c r="CM76" s="299"/>
      <c r="CN76" s="276"/>
      <c r="CP76" s="283" t="s">
        <v>830</v>
      </c>
      <c r="CQ76" s="281">
        <v>0</v>
      </c>
      <c r="CR76" s="299"/>
      <c r="CS76" s="276"/>
      <c r="CU76" s="283" t="s">
        <v>830</v>
      </c>
      <c r="CV76" s="281">
        <v>0</v>
      </c>
      <c r="CW76" s="299"/>
      <c r="CX76" s="276"/>
      <c r="CZ76" s="283" t="s">
        <v>830</v>
      </c>
      <c r="DA76" s="281">
        <v>0</v>
      </c>
      <c r="DB76" s="299"/>
      <c r="DC76" s="276"/>
    </row>
    <row r="77" spans="1:107" x14ac:dyDescent="0.15">
      <c r="A77" s="272"/>
      <c r="B77" s="569" t="s">
        <v>831</v>
      </c>
      <c r="C77" s="582">
        <f t="shared" si="0"/>
        <v>0</v>
      </c>
      <c r="D77" s="568" cm="1">
        <f t="array" ref="D77">IF(INDEX(77:77,$F$2)="","", INDEX(77:77, $F$2))</f>
        <v>0</v>
      </c>
      <c r="E77" s="568"/>
      <c r="F77" s="583"/>
      <c r="G77" s="590"/>
      <c r="H77" s="273"/>
      <c r="M77" s="283" t="s">
        <v>831</v>
      </c>
      <c r="N77" s="281">
        <v>0</v>
      </c>
      <c r="O77" s="299"/>
      <c r="P77" s="276"/>
      <c r="R77" s="283" t="s">
        <v>831</v>
      </c>
      <c r="S77" s="281">
        <v>0</v>
      </c>
      <c r="T77" s="299"/>
      <c r="U77" s="276"/>
      <c r="W77" s="283" t="s">
        <v>831</v>
      </c>
      <c r="X77" s="281">
        <v>0</v>
      </c>
      <c r="Y77" s="299"/>
      <c r="Z77" s="276"/>
      <c r="AB77" s="283" t="s">
        <v>831</v>
      </c>
      <c r="AC77" s="281">
        <v>0</v>
      </c>
      <c r="AD77" s="299"/>
      <c r="AE77" s="276"/>
      <c r="AG77" s="283" t="s">
        <v>831</v>
      </c>
      <c r="AH77" s="281">
        <v>0</v>
      </c>
      <c r="AI77" s="299"/>
      <c r="AJ77" s="276"/>
      <c r="AL77" s="283" t="s">
        <v>831</v>
      </c>
      <c r="AM77" s="281">
        <v>0</v>
      </c>
      <c r="AN77" s="299"/>
      <c r="AO77" s="276"/>
      <c r="AQ77" s="283" t="s">
        <v>831</v>
      </c>
      <c r="AR77" s="281">
        <v>0</v>
      </c>
      <c r="AS77" s="299"/>
      <c r="AT77" s="276"/>
      <c r="AV77" s="283" t="s">
        <v>831</v>
      </c>
      <c r="AW77" s="281">
        <v>0</v>
      </c>
      <c r="AX77" s="299"/>
      <c r="AY77" s="276"/>
      <c r="BA77" s="283" t="s">
        <v>831</v>
      </c>
      <c r="BB77" s="281">
        <v>0</v>
      </c>
      <c r="BC77" s="299"/>
      <c r="BD77" s="276"/>
      <c r="BF77" s="283" t="s">
        <v>831</v>
      </c>
      <c r="BG77" s="281">
        <v>0</v>
      </c>
      <c r="BH77" s="299"/>
      <c r="BI77" s="276"/>
      <c r="BL77" s="283" t="s">
        <v>831</v>
      </c>
      <c r="BM77" s="281">
        <v>0</v>
      </c>
      <c r="BN77" s="299"/>
      <c r="BO77" s="276"/>
      <c r="BQ77" s="283" t="s">
        <v>831</v>
      </c>
      <c r="BR77" s="281">
        <v>0</v>
      </c>
      <c r="BS77" s="299"/>
      <c r="BT77" s="276"/>
      <c r="BV77" s="283" t="s">
        <v>831</v>
      </c>
      <c r="BW77" s="281">
        <v>0</v>
      </c>
      <c r="BY77" s="276"/>
      <c r="CA77" s="283" t="s">
        <v>831</v>
      </c>
      <c r="CB77" s="281">
        <v>0</v>
      </c>
      <c r="CD77" s="276"/>
      <c r="CF77" s="283" t="s">
        <v>831</v>
      </c>
      <c r="CG77" s="281">
        <v>0</v>
      </c>
      <c r="CH77" s="299"/>
      <c r="CI77" s="276"/>
      <c r="CK77" s="283" t="s">
        <v>831</v>
      </c>
      <c r="CL77" s="281">
        <v>0</v>
      </c>
      <c r="CM77" s="299"/>
      <c r="CN77" s="276"/>
      <c r="CP77" s="283" t="s">
        <v>831</v>
      </c>
      <c r="CQ77" s="281">
        <v>0</v>
      </c>
      <c r="CR77" s="299"/>
      <c r="CS77" s="276"/>
      <c r="CU77" s="283" t="s">
        <v>831</v>
      </c>
      <c r="CV77" s="281">
        <v>0</v>
      </c>
      <c r="CW77" s="299"/>
      <c r="CX77" s="276"/>
      <c r="CZ77" s="283" t="s">
        <v>831</v>
      </c>
      <c r="DA77" s="281">
        <v>0</v>
      </c>
      <c r="DB77" s="299"/>
      <c r="DC77" s="276"/>
    </row>
    <row r="78" spans="1:107" x14ac:dyDescent="0.15">
      <c r="A78" s="272"/>
      <c r="B78" s="569" t="s">
        <v>832</v>
      </c>
      <c r="C78" s="1137">
        <f t="shared" si="0"/>
        <v>0</v>
      </c>
      <c r="D78" s="568" cm="1">
        <f t="array" ref="D78">IF(INDEX(78:78,$F$2)="","", INDEX(78:78, $F$2))</f>
        <v>0</v>
      </c>
      <c r="E78" s="568"/>
      <c r="F78" s="565"/>
      <c r="G78" s="590"/>
      <c r="H78" s="273"/>
      <c r="M78" s="283" t="s">
        <v>833</v>
      </c>
      <c r="N78" s="281">
        <v>0</v>
      </c>
      <c r="O78" s="299"/>
      <c r="P78" s="276"/>
      <c r="R78" s="283" t="s">
        <v>833</v>
      </c>
      <c r="S78" s="281">
        <v>0</v>
      </c>
      <c r="T78" s="299"/>
      <c r="U78" s="276"/>
      <c r="W78" s="283" t="s">
        <v>833</v>
      </c>
      <c r="X78" s="281">
        <v>0</v>
      </c>
      <c r="Y78" s="299"/>
      <c r="Z78" s="276"/>
      <c r="AB78" s="283" t="s">
        <v>833</v>
      </c>
      <c r="AC78" s="281">
        <v>0</v>
      </c>
      <c r="AD78" s="299"/>
      <c r="AE78" s="276"/>
      <c r="AG78" s="283" t="s">
        <v>833</v>
      </c>
      <c r="AH78" s="281">
        <v>0</v>
      </c>
      <c r="AI78" s="299"/>
      <c r="AJ78" s="276"/>
      <c r="AL78" s="283" t="s">
        <v>833</v>
      </c>
      <c r="AM78" s="281">
        <v>0</v>
      </c>
      <c r="AN78" s="299"/>
      <c r="AO78" s="276"/>
      <c r="AQ78" s="283" t="s">
        <v>833</v>
      </c>
      <c r="AR78" s="281">
        <v>0</v>
      </c>
      <c r="AS78" s="299"/>
      <c r="AT78" s="276"/>
      <c r="AV78" s="283" t="s">
        <v>833</v>
      </c>
      <c r="AW78" s="281">
        <v>0</v>
      </c>
      <c r="AX78" s="299"/>
      <c r="AY78" s="276"/>
      <c r="BA78" s="283" t="s">
        <v>833</v>
      </c>
      <c r="BB78" s="281">
        <v>0</v>
      </c>
      <c r="BC78" s="299"/>
      <c r="BD78" s="276"/>
      <c r="BF78" s="283" t="s">
        <v>833</v>
      </c>
      <c r="BG78" s="281">
        <v>0</v>
      </c>
      <c r="BH78" s="299"/>
      <c r="BI78" s="276"/>
      <c r="BL78" s="283" t="s">
        <v>833</v>
      </c>
      <c r="BM78" s="281">
        <v>0</v>
      </c>
      <c r="BN78" s="299"/>
      <c r="BO78" s="276"/>
      <c r="BQ78" s="283" t="s">
        <v>833</v>
      </c>
      <c r="BR78" s="281">
        <v>0</v>
      </c>
      <c r="BS78" s="299"/>
      <c r="BT78" s="276"/>
      <c r="BV78" s="283" t="s">
        <v>833</v>
      </c>
      <c r="BW78" s="281">
        <v>0</v>
      </c>
      <c r="BY78" s="276"/>
      <c r="CA78" s="283" t="s">
        <v>833</v>
      </c>
      <c r="CB78" s="281">
        <v>0</v>
      </c>
      <c r="CD78" s="276"/>
      <c r="CF78" s="283" t="s">
        <v>833</v>
      </c>
      <c r="CG78" s="281">
        <v>0</v>
      </c>
      <c r="CH78" s="299"/>
      <c r="CI78" s="276"/>
      <c r="CK78" s="283" t="s">
        <v>833</v>
      </c>
      <c r="CL78" s="281">
        <v>0</v>
      </c>
      <c r="CM78" s="299"/>
      <c r="CN78" s="276"/>
      <c r="CP78" s="283" t="s">
        <v>833</v>
      </c>
      <c r="CQ78" s="281">
        <v>0</v>
      </c>
      <c r="CR78" s="299"/>
      <c r="CS78" s="276"/>
      <c r="CU78" s="283" t="s">
        <v>833</v>
      </c>
      <c r="CV78" s="281">
        <v>0</v>
      </c>
      <c r="CW78" s="299"/>
      <c r="CX78" s="276"/>
      <c r="CZ78" s="283" t="s">
        <v>833</v>
      </c>
      <c r="DA78" s="281">
        <v>0</v>
      </c>
      <c r="DB78" s="299"/>
      <c r="DC78" s="276"/>
    </row>
    <row r="79" spans="1:107" x14ac:dyDescent="0.15">
      <c r="A79" s="272"/>
      <c r="B79" s="569"/>
      <c r="C79" s="573" t="str">
        <f t="shared" si="0"/>
        <v/>
      </c>
      <c r="D79" s="568" t="str" cm="1">
        <f t="array" ref="D79">IF(INDEX(79:79,$F$2)="","", INDEX(79:79, $F$2))</f>
        <v/>
      </c>
      <c r="E79" s="568"/>
      <c r="F79" s="565"/>
      <c r="G79" s="590"/>
      <c r="H79" s="273"/>
      <c r="M79" s="283"/>
      <c r="N79" s="281"/>
      <c r="O79" s="299"/>
      <c r="P79" s="276"/>
      <c r="R79" s="283"/>
      <c r="S79" s="281"/>
      <c r="T79" s="299"/>
      <c r="U79" s="276"/>
      <c r="W79" s="283"/>
      <c r="X79" s="281"/>
      <c r="Y79" s="299"/>
      <c r="Z79" s="276"/>
      <c r="AB79" s="283"/>
      <c r="AC79" s="281"/>
      <c r="AD79" s="299"/>
      <c r="AE79" s="276"/>
      <c r="AG79" s="283"/>
      <c r="AH79" s="281"/>
      <c r="AI79" s="299"/>
      <c r="AJ79" s="276"/>
      <c r="AL79" s="283"/>
      <c r="AM79" s="281"/>
      <c r="AN79" s="299"/>
      <c r="AO79" s="276"/>
      <c r="AQ79" s="283"/>
      <c r="AR79" s="281"/>
      <c r="AS79" s="299"/>
      <c r="AT79" s="276"/>
      <c r="AV79" s="283"/>
      <c r="AW79" s="281"/>
      <c r="AX79" s="299"/>
      <c r="AY79" s="276"/>
      <c r="BA79" s="283"/>
      <c r="BB79" s="281"/>
      <c r="BC79" s="299"/>
      <c r="BD79" s="276"/>
      <c r="BF79" s="283"/>
      <c r="BG79" s="281"/>
      <c r="BH79" s="299"/>
      <c r="BI79" s="276"/>
      <c r="BL79" s="283"/>
      <c r="BM79" s="281"/>
      <c r="BN79" s="299"/>
      <c r="BO79" s="276"/>
      <c r="BQ79" s="283"/>
      <c r="BR79" s="281"/>
      <c r="BS79" s="299"/>
      <c r="BT79" s="276"/>
      <c r="BV79" s="283"/>
      <c r="BW79" s="281"/>
      <c r="BY79" s="276"/>
      <c r="CA79" s="283"/>
      <c r="CB79" s="281"/>
      <c r="CD79" s="276"/>
      <c r="CF79" s="283"/>
      <c r="CG79" s="281"/>
      <c r="CH79" s="299"/>
      <c r="CI79" s="276"/>
      <c r="CK79" s="283"/>
      <c r="CL79" s="281"/>
      <c r="CM79" s="299"/>
      <c r="CN79" s="276"/>
      <c r="CP79" s="283"/>
      <c r="CQ79" s="281"/>
      <c r="CR79" s="299"/>
      <c r="CS79" s="276"/>
      <c r="CU79" s="283"/>
      <c r="CV79" s="281"/>
      <c r="CW79" s="299"/>
      <c r="CX79" s="276"/>
      <c r="CZ79" s="283"/>
      <c r="DA79" s="281"/>
      <c r="DB79" s="299"/>
      <c r="DC79" s="276"/>
    </row>
    <row r="80" spans="1:107" x14ac:dyDescent="0.15">
      <c r="A80" s="272"/>
      <c r="B80" s="576" t="s">
        <v>834</v>
      </c>
      <c r="C80" s="573" t="str">
        <f t="shared" si="0"/>
        <v/>
      </c>
      <c r="D80" s="568" t="str" cm="1">
        <f t="array" ref="D80">IF(INDEX(80:80,$F$2)="","", INDEX(80:80, $F$2))</f>
        <v/>
      </c>
      <c r="E80" s="568"/>
      <c r="F80" s="565"/>
      <c r="G80" s="590"/>
      <c r="H80" s="273"/>
      <c r="M80" s="301" t="s">
        <v>834</v>
      </c>
      <c r="N80" s="281"/>
      <c r="O80" s="299"/>
      <c r="P80" s="276"/>
      <c r="R80" s="301" t="s">
        <v>834</v>
      </c>
      <c r="S80" s="281"/>
      <c r="T80" s="299"/>
      <c r="U80" s="276"/>
      <c r="W80" s="301" t="s">
        <v>834</v>
      </c>
      <c r="X80" s="281"/>
      <c r="Y80" s="299"/>
      <c r="Z80" s="276"/>
      <c r="AB80" s="301" t="s">
        <v>834</v>
      </c>
      <c r="AC80" s="281"/>
      <c r="AD80" s="299"/>
      <c r="AE80" s="276"/>
      <c r="AG80" s="301" t="s">
        <v>834</v>
      </c>
      <c r="AH80" s="281"/>
      <c r="AI80" s="299"/>
      <c r="AJ80" s="276"/>
      <c r="AL80" s="301" t="s">
        <v>834</v>
      </c>
      <c r="AM80" s="281"/>
      <c r="AN80" s="299"/>
      <c r="AO80" s="276"/>
      <c r="AQ80" s="301" t="s">
        <v>834</v>
      </c>
      <c r="AR80" s="281"/>
      <c r="AS80" s="299"/>
      <c r="AT80" s="276"/>
      <c r="AV80" s="301" t="s">
        <v>834</v>
      </c>
      <c r="AW80" s="281"/>
      <c r="AX80" s="299"/>
      <c r="AY80" s="276"/>
      <c r="BA80" s="301" t="s">
        <v>834</v>
      </c>
      <c r="BB80" s="281"/>
      <c r="BC80" s="299"/>
      <c r="BD80" s="276"/>
      <c r="BF80" s="301" t="s">
        <v>834</v>
      </c>
      <c r="BG80" s="281"/>
      <c r="BH80" s="299"/>
      <c r="BI80" s="276"/>
      <c r="BL80" s="301" t="s">
        <v>834</v>
      </c>
      <c r="BM80" s="281"/>
      <c r="BN80" s="299"/>
      <c r="BO80" s="276"/>
      <c r="BQ80" s="301" t="s">
        <v>834</v>
      </c>
      <c r="BR80" s="281"/>
      <c r="BS80" s="299"/>
      <c r="BT80" s="276"/>
      <c r="BV80" s="301" t="s">
        <v>834</v>
      </c>
      <c r="BW80" s="281"/>
      <c r="BY80" s="276"/>
      <c r="CA80" s="301" t="s">
        <v>834</v>
      </c>
      <c r="CB80" s="281"/>
      <c r="CD80" s="276"/>
      <c r="CF80" s="301" t="s">
        <v>834</v>
      </c>
      <c r="CG80" s="281"/>
      <c r="CH80" s="299"/>
      <c r="CI80" s="276"/>
      <c r="CK80" s="301" t="s">
        <v>834</v>
      </c>
      <c r="CL80" s="281"/>
      <c r="CM80" s="299"/>
      <c r="CN80" s="276"/>
      <c r="CP80" s="301" t="s">
        <v>834</v>
      </c>
      <c r="CQ80" s="281"/>
      <c r="CR80" s="299"/>
      <c r="CS80" s="276"/>
      <c r="CU80" s="301" t="s">
        <v>834</v>
      </c>
      <c r="CV80" s="281"/>
      <c r="CW80" s="299"/>
      <c r="CX80" s="276"/>
      <c r="CZ80" s="301" t="s">
        <v>834</v>
      </c>
      <c r="DA80" s="281"/>
      <c r="DB80" s="299"/>
      <c r="DC80" s="276"/>
    </row>
    <row r="81" spans="1:107" x14ac:dyDescent="0.15">
      <c r="A81" s="272"/>
      <c r="B81" s="569" t="s">
        <v>827</v>
      </c>
      <c r="C81" s="563" t="str">
        <f t="shared" si="0"/>
        <v>None</v>
      </c>
      <c r="D81" s="568" t="str" cm="1">
        <f t="array" ref="D81">IF(INDEX(81:81,$F$2)="","", INDEX(81:81, $F$2))</f>
        <v>None</v>
      </c>
      <c r="E81" s="568"/>
      <c r="F81" s="565"/>
      <c r="G81" s="590"/>
      <c r="H81" s="273"/>
      <c r="M81" s="283" t="s">
        <v>827</v>
      </c>
      <c r="N81" s="281" t="s">
        <v>828</v>
      </c>
      <c r="O81" s="299"/>
      <c r="P81" s="276"/>
      <c r="R81" s="283" t="s">
        <v>827</v>
      </c>
      <c r="S81" s="281" t="s">
        <v>828</v>
      </c>
      <c r="T81" s="299"/>
      <c r="U81" s="276"/>
      <c r="W81" s="283" t="s">
        <v>827</v>
      </c>
      <c r="X81" s="281" t="s">
        <v>828</v>
      </c>
      <c r="Y81" s="299"/>
      <c r="Z81" s="276"/>
      <c r="AB81" s="283" t="s">
        <v>827</v>
      </c>
      <c r="AC81" s="281" t="s">
        <v>828</v>
      </c>
      <c r="AD81" s="299"/>
      <c r="AE81" s="276"/>
      <c r="AG81" s="283" t="s">
        <v>827</v>
      </c>
      <c r="AH81" s="281" t="s">
        <v>828</v>
      </c>
      <c r="AI81" s="299"/>
      <c r="AJ81" s="276"/>
      <c r="AL81" s="283" t="s">
        <v>827</v>
      </c>
      <c r="AM81" s="281" t="s">
        <v>828</v>
      </c>
      <c r="AN81" s="299"/>
      <c r="AO81" s="276"/>
      <c r="AQ81" s="283" t="s">
        <v>827</v>
      </c>
      <c r="AR81" s="281" t="s">
        <v>828</v>
      </c>
      <c r="AS81" s="299"/>
      <c r="AT81" s="276"/>
      <c r="AV81" s="283" t="s">
        <v>827</v>
      </c>
      <c r="AW81" s="281" t="s">
        <v>828</v>
      </c>
      <c r="AX81" s="299"/>
      <c r="AY81" s="276"/>
      <c r="BA81" s="283" t="s">
        <v>827</v>
      </c>
      <c r="BB81" s="281" t="s">
        <v>828</v>
      </c>
      <c r="BC81" s="299"/>
      <c r="BD81" s="276"/>
      <c r="BF81" s="283" t="s">
        <v>827</v>
      </c>
      <c r="BG81" s="281" t="s">
        <v>828</v>
      </c>
      <c r="BH81" s="299"/>
      <c r="BI81" s="276"/>
      <c r="BL81" s="283" t="s">
        <v>827</v>
      </c>
      <c r="BM81" s="281" t="s">
        <v>828</v>
      </c>
      <c r="BN81" s="299"/>
      <c r="BO81" s="276"/>
      <c r="BQ81" s="283" t="s">
        <v>827</v>
      </c>
      <c r="BR81" s="281" t="s">
        <v>828</v>
      </c>
      <c r="BS81" s="299"/>
      <c r="BT81" s="276"/>
      <c r="BV81" s="283" t="s">
        <v>827</v>
      </c>
      <c r="BW81" s="281" t="s">
        <v>828</v>
      </c>
      <c r="BY81" s="276"/>
      <c r="CA81" s="283" t="s">
        <v>827</v>
      </c>
      <c r="CB81" s="281" t="s">
        <v>828</v>
      </c>
      <c r="CD81" s="276"/>
      <c r="CF81" s="283" t="s">
        <v>827</v>
      </c>
      <c r="CG81" s="281" t="s">
        <v>828</v>
      </c>
      <c r="CH81" s="299"/>
      <c r="CI81" s="276"/>
      <c r="CK81" s="283" t="s">
        <v>827</v>
      </c>
      <c r="CL81" s="281" t="s">
        <v>828</v>
      </c>
      <c r="CM81" s="299"/>
      <c r="CN81" s="276"/>
      <c r="CP81" s="283" t="s">
        <v>827</v>
      </c>
      <c r="CQ81" s="281" t="s">
        <v>828</v>
      </c>
      <c r="CR81" s="299"/>
      <c r="CS81" s="276"/>
      <c r="CU81" s="283" t="s">
        <v>827</v>
      </c>
      <c r="CV81" s="281" t="s">
        <v>828</v>
      </c>
      <c r="CW81" s="299"/>
      <c r="CX81" s="276"/>
      <c r="CZ81" s="283" t="s">
        <v>827</v>
      </c>
      <c r="DA81" s="281" t="s">
        <v>828</v>
      </c>
      <c r="DB81" s="299"/>
      <c r="DC81" s="276"/>
    </row>
    <row r="82" spans="1:107" x14ac:dyDescent="0.15">
      <c r="A82" s="272"/>
      <c r="B82" s="569" t="s">
        <v>835</v>
      </c>
      <c r="C82" s="582">
        <f t="shared" si="0"/>
        <v>0</v>
      </c>
      <c r="D82" s="568" cm="1">
        <f t="array" ref="D82">IF(INDEX(82:82,$F$2)="","", INDEX(82:82, $F$2))</f>
        <v>0</v>
      </c>
      <c r="E82" s="568"/>
      <c r="F82" s="583"/>
      <c r="G82" s="590"/>
      <c r="H82" s="273"/>
      <c r="M82" s="283" t="s">
        <v>836</v>
      </c>
      <c r="N82" s="281">
        <v>0</v>
      </c>
      <c r="O82" s="299"/>
      <c r="P82" s="276"/>
      <c r="R82" s="283" t="s">
        <v>836</v>
      </c>
      <c r="S82" s="281">
        <v>0</v>
      </c>
      <c r="T82" s="299"/>
      <c r="U82" s="276"/>
      <c r="W82" s="283" t="s">
        <v>836</v>
      </c>
      <c r="X82" s="281">
        <v>0</v>
      </c>
      <c r="Y82" s="299"/>
      <c r="Z82" s="276"/>
      <c r="AB82" s="283" t="s">
        <v>836</v>
      </c>
      <c r="AC82" s="281">
        <v>0</v>
      </c>
      <c r="AD82" s="299"/>
      <c r="AE82" s="276"/>
      <c r="AG82" s="283" t="s">
        <v>836</v>
      </c>
      <c r="AH82" s="281">
        <v>0</v>
      </c>
      <c r="AI82" s="299"/>
      <c r="AJ82" s="276"/>
      <c r="AL82" s="283" t="s">
        <v>836</v>
      </c>
      <c r="AM82" s="281">
        <v>0</v>
      </c>
      <c r="AN82" s="299"/>
      <c r="AO82" s="276"/>
      <c r="AQ82" s="283" t="s">
        <v>836</v>
      </c>
      <c r="AR82" s="281">
        <v>0</v>
      </c>
      <c r="AS82" s="299"/>
      <c r="AT82" s="276"/>
      <c r="AV82" s="283" t="s">
        <v>836</v>
      </c>
      <c r="AW82" s="281">
        <v>0</v>
      </c>
      <c r="AX82" s="299"/>
      <c r="AY82" s="276"/>
      <c r="BA82" s="283" t="s">
        <v>836</v>
      </c>
      <c r="BB82" s="281">
        <v>0</v>
      </c>
      <c r="BC82" s="299"/>
      <c r="BD82" s="276"/>
      <c r="BF82" s="283" t="s">
        <v>836</v>
      </c>
      <c r="BG82" s="281">
        <v>0</v>
      </c>
      <c r="BH82" s="299"/>
      <c r="BI82" s="276"/>
      <c r="BL82" s="283" t="s">
        <v>836</v>
      </c>
      <c r="BM82" s="281">
        <v>0</v>
      </c>
      <c r="BN82" s="299"/>
      <c r="BO82" s="276"/>
      <c r="BQ82" s="283" t="s">
        <v>836</v>
      </c>
      <c r="BR82" s="281">
        <v>0</v>
      </c>
      <c r="BS82" s="299"/>
      <c r="BT82" s="276"/>
      <c r="BV82" s="283" t="s">
        <v>836</v>
      </c>
      <c r="BW82" s="281">
        <v>0</v>
      </c>
      <c r="BY82" s="276"/>
      <c r="CA82" s="283" t="s">
        <v>836</v>
      </c>
      <c r="CB82" s="281">
        <v>0</v>
      </c>
      <c r="CD82" s="276"/>
      <c r="CF82" s="283" t="s">
        <v>836</v>
      </c>
      <c r="CG82" s="281">
        <v>0</v>
      </c>
      <c r="CH82" s="299"/>
      <c r="CI82" s="276"/>
      <c r="CK82" s="283" t="s">
        <v>836</v>
      </c>
      <c r="CL82" s="281">
        <v>0</v>
      </c>
      <c r="CM82" s="299"/>
      <c r="CN82" s="276"/>
      <c r="CP82" s="283" t="s">
        <v>836</v>
      </c>
      <c r="CQ82" s="281">
        <v>0</v>
      </c>
      <c r="CR82" s="299"/>
      <c r="CS82" s="276"/>
      <c r="CU82" s="283" t="s">
        <v>836</v>
      </c>
      <c r="CV82" s="281">
        <v>0</v>
      </c>
      <c r="CW82" s="299"/>
      <c r="CX82" s="276"/>
      <c r="CZ82" s="283" t="s">
        <v>836</v>
      </c>
      <c r="DA82" s="281">
        <v>0</v>
      </c>
      <c r="DB82" s="299"/>
      <c r="DC82" s="276"/>
    </row>
    <row r="83" spans="1:107" x14ac:dyDescent="0.15">
      <c r="A83" s="272"/>
      <c r="B83" s="569" t="s">
        <v>831</v>
      </c>
      <c r="C83" s="582">
        <f t="shared" si="0"/>
        <v>0</v>
      </c>
      <c r="D83" s="568" cm="1">
        <f t="array" ref="D83">IF(INDEX(83:83,$F$2)="","", INDEX(83:83, $F$2))</f>
        <v>0</v>
      </c>
      <c r="E83" s="568"/>
      <c r="F83" s="583"/>
      <c r="G83" s="590"/>
      <c r="H83" s="273"/>
      <c r="M83" s="283" t="s">
        <v>831</v>
      </c>
      <c r="N83" s="281">
        <v>0</v>
      </c>
      <c r="O83" s="299"/>
      <c r="P83" s="276"/>
      <c r="R83" s="283" t="s">
        <v>831</v>
      </c>
      <c r="S83" s="281">
        <v>0</v>
      </c>
      <c r="T83" s="299"/>
      <c r="U83" s="276"/>
      <c r="W83" s="283" t="s">
        <v>831</v>
      </c>
      <c r="X83" s="281">
        <v>0</v>
      </c>
      <c r="Y83" s="299"/>
      <c r="Z83" s="276"/>
      <c r="AB83" s="283" t="s">
        <v>831</v>
      </c>
      <c r="AC83" s="281">
        <v>0</v>
      </c>
      <c r="AD83" s="299"/>
      <c r="AE83" s="276"/>
      <c r="AG83" s="283" t="s">
        <v>831</v>
      </c>
      <c r="AH83" s="281">
        <v>0</v>
      </c>
      <c r="AI83" s="299"/>
      <c r="AJ83" s="276"/>
      <c r="AL83" s="283" t="s">
        <v>831</v>
      </c>
      <c r="AM83" s="281">
        <v>0</v>
      </c>
      <c r="AN83" s="299"/>
      <c r="AO83" s="276"/>
      <c r="AQ83" s="283" t="s">
        <v>831</v>
      </c>
      <c r="AR83" s="281">
        <v>0</v>
      </c>
      <c r="AS83" s="299"/>
      <c r="AT83" s="276"/>
      <c r="AV83" s="283" t="s">
        <v>831</v>
      </c>
      <c r="AW83" s="281">
        <v>0</v>
      </c>
      <c r="AX83" s="299"/>
      <c r="AY83" s="276"/>
      <c r="BA83" s="283" t="s">
        <v>831</v>
      </c>
      <c r="BB83" s="281">
        <v>0</v>
      </c>
      <c r="BC83" s="299"/>
      <c r="BD83" s="276"/>
      <c r="BF83" s="283" t="s">
        <v>831</v>
      </c>
      <c r="BG83" s="281">
        <v>0</v>
      </c>
      <c r="BH83" s="299"/>
      <c r="BI83" s="276"/>
      <c r="BL83" s="283" t="s">
        <v>831</v>
      </c>
      <c r="BM83" s="281">
        <v>0</v>
      </c>
      <c r="BN83" s="299"/>
      <c r="BO83" s="276"/>
      <c r="BQ83" s="283" t="s">
        <v>831</v>
      </c>
      <c r="BR83" s="281">
        <v>0</v>
      </c>
      <c r="BS83" s="299"/>
      <c r="BT83" s="276"/>
      <c r="BV83" s="283" t="s">
        <v>831</v>
      </c>
      <c r="BW83" s="281">
        <v>0</v>
      </c>
      <c r="BY83" s="276"/>
      <c r="CA83" s="283" t="s">
        <v>831</v>
      </c>
      <c r="CB83" s="281">
        <v>0</v>
      </c>
      <c r="CD83" s="276"/>
      <c r="CF83" s="283" t="s">
        <v>831</v>
      </c>
      <c r="CG83" s="281">
        <v>0</v>
      </c>
      <c r="CH83" s="299"/>
      <c r="CI83" s="276"/>
      <c r="CK83" s="283" t="s">
        <v>831</v>
      </c>
      <c r="CL83" s="281">
        <v>0</v>
      </c>
      <c r="CM83" s="299"/>
      <c r="CN83" s="276"/>
      <c r="CP83" s="283" t="s">
        <v>831</v>
      </c>
      <c r="CQ83" s="281">
        <v>0</v>
      </c>
      <c r="CR83" s="299"/>
      <c r="CS83" s="276"/>
      <c r="CU83" s="283" t="s">
        <v>831</v>
      </c>
      <c r="CV83" s="281">
        <v>0</v>
      </c>
      <c r="CW83" s="299"/>
      <c r="CX83" s="276"/>
      <c r="CZ83" s="283" t="s">
        <v>831</v>
      </c>
      <c r="DA83" s="281">
        <v>0</v>
      </c>
      <c r="DB83" s="299"/>
      <c r="DC83" s="276"/>
    </row>
    <row r="84" spans="1:107" x14ac:dyDescent="0.15">
      <c r="A84" s="272"/>
      <c r="B84" s="569" t="s">
        <v>832</v>
      </c>
      <c r="C84" s="1137">
        <f t="shared" si="0"/>
        <v>0</v>
      </c>
      <c r="D84" s="568" cm="1">
        <f t="array" ref="D84">IF(INDEX(84:84,$F$2)="","", INDEX(84:84, $F$2))</f>
        <v>0</v>
      </c>
      <c r="E84" s="568"/>
      <c r="F84" s="565"/>
      <c r="G84" s="590"/>
      <c r="H84" s="273"/>
      <c r="M84" s="283" t="s">
        <v>833</v>
      </c>
      <c r="N84" s="281">
        <v>0</v>
      </c>
      <c r="O84" s="299"/>
      <c r="P84" s="276"/>
      <c r="R84" s="283" t="s">
        <v>833</v>
      </c>
      <c r="S84" s="281">
        <v>0</v>
      </c>
      <c r="T84" s="299"/>
      <c r="U84" s="276"/>
      <c r="W84" s="283" t="s">
        <v>833</v>
      </c>
      <c r="X84" s="281">
        <v>0</v>
      </c>
      <c r="Y84" s="299"/>
      <c r="Z84" s="276"/>
      <c r="AB84" s="283" t="s">
        <v>833</v>
      </c>
      <c r="AC84" s="281">
        <v>0</v>
      </c>
      <c r="AD84" s="299"/>
      <c r="AE84" s="276"/>
      <c r="AG84" s="283" t="s">
        <v>833</v>
      </c>
      <c r="AH84" s="281">
        <v>0</v>
      </c>
      <c r="AI84" s="299"/>
      <c r="AJ84" s="276"/>
      <c r="AL84" s="283" t="s">
        <v>833</v>
      </c>
      <c r="AM84" s="281">
        <v>0</v>
      </c>
      <c r="AN84" s="299"/>
      <c r="AO84" s="276"/>
      <c r="AQ84" s="283" t="s">
        <v>833</v>
      </c>
      <c r="AR84" s="281">
        <v>0</v>
      </c>
      <c r="AS84" s="299"/>
      <c r="AT84" s="276"/>
      <c r="AV84" s="283" t="s">
        <v>833</v>
      </c>
      <c r="AW84" s="281">
        <v>0</v>
      </c>
      <c r="AX84" s="299"/>
      <c r="AY84" s="276"/>
      <c r="BA84" s="283" t="s">
        <v>833</v>
      </c>
      <c r="BB84" s="281">
        <v>0</v>
      </c>
      <c r="BC84" s="299"/>
      <c r="BD84" s="276"/>
      <c r="BF84" s="283" t="s">
        <v>833</v>
      </c>
      <c r="BG84" s="281">
        <v>0</v>
      </c>
      <c r="BH84" s="299"/>
      <c r="BI84" s="276"/>
      <c r="BL84" s="283" t="s">
        <v>833</v>
      </c>
      <c r="BM84" s="281">
        <v>0</v>
      </c>
      <c r="BN84" s="299"/>
      <c r="BO84" s="276"/>
      <c r="BQ84" s="283" t="s">
        <v>833</v>
      </c>
      <c r="BR84" s="281">
        <v>0</v>
      </c>
      <c r="BS84" s="299"/>
      <c r="BT84" s="276"/>
      <c r="BV84" s="283" t="s">
        <v>833</v>
      </c>
      <c r="BW84" s="281">
        <v>0</v>
      </c>
      <c r="BY84" s="276"/>
      <c r="CA84" s="283" t="s">
        <v>833</v>
      </c>
      <c r="CB84" s="281">
        <v>0</v>
      </c>
      <c r="CD84" s="276"/>
      <c r="CF84" s="283" t="s">
        <v>833</v>
      </c>
      <c r="CG84" s="281">
        <v>0</v>
      </c>
      <c r="CH84" s="299"/>
      <c r="CI84" s="276"/>
      <c r="CK84" s="283" t="s">
        <v>833</v>
      </c>
      <c r="CL84" s="281">
        <v>0</v>
      </c>
      <c r="CM84" s="299"/>
      <c r="CN84" s="276"/>
      <c r="CP84" s="283" t="s">
        <v>833</v>
      </c>
      <c r="CQ84" s="281">
        <v>0</v>
      </c>
      <c r="CR84" s="299"/>
      <c r="CS84" s="276"/>
      <c r="CU84" s="283" t="s">
        <v>833</v>
      </c>
      <c r="CV84" s="281">
        <v>0</v>
      </c>
      <c r="CW84" s="299"/>
      <c r="CX84" s="276"/>
      <c r="CZ84" s="283" t="s">
        <v>833</v>
      </c>
      <c r="DA84" s="281">
        <v>0</v>
      </c>
      <c r="DB84" s="299"/>
      <c r="DC84" s="276"/>
    </row>
    <row r="85" spans="1:107" x14ac:dyDescent="0.15">
      <c r="A85" s="272"/>
      <c r="B85" s="569"/>
      <c r="C85" s="573"/>
      <c r="D85" s="568" t="str" cm="1">
        <f t="array" ref="D85">IF(INDEX(85:85,$F$2)="","", INDEX(85:85, $F$2))</f>
        <v/>
      </c>
      <c r="E85" s="568"/>
      <c r="F85" s="565"/>
      <c r="G85" s="297"/>
      <c r="H85" s="273"/>
      <c r="M85" s="283"/>
      <c r="N85" s="281"/>
      <c r="O85" s="299"/>
      <c r="P85" s="276"/>
      <c r="R85" s="283"/>
      <c r="S85" s="281"/>
      <c r="T85" s="299"/>
      <c r="U85" s="276"/>
      <c r="W85" s="283"/>
      <c r="X85" s="281"/>
      <c r="Y85" s="299"/>
      <c r="Z85" s="276"/>
      <c r="AB85" s="283"/>
      <c r="AC85" s="281"/>
      <c r="AD85" s="299"/>
      <c r="AE85" s="276"/>
      <c r="AG85" s="283"/>
      <c r="AH85" s="281"/>
      <c r="AI85" s="299"/>
      <c r="AJ85" s="276"/>
      <c r="AL85" s="283"/>
      <c r="AM85" s="281"/>
      <c r="AN85" s="299"/>
      <c r="AO85" s="276"/>
      <c r="AQ85" s="283"/>
      <c r="AR85" s="281"/>
      <c r="AS85" s="299"/>
      <c r="AT85" s="276"/>
      <c r="AV85" s="283"/>
      <c r="AW85" s="281"/>
      <c r="AX85" s="299"/>
      <c r="AY85" s="276"/>
      <c r="BA85" s="283"/>
      <c r="BB85" s="281"/>
      <c r="BC85" s="299"/>
      <c r="BD85" s="276"/>
      <c r="BF85" s="283"/>
      <c r="BG85" s="281"/>
      <c r="BH85" s="299"/>
      <c r="BI85" s="276"/>
      <c r="BL85" s="283"/>
      <c r="BM85" s="281"/>
      <c r="BN85" s="299"/>
      <c r="BO85" s="276"/>
      <c r="BQ85" s="283"/>
      <c r="BR85" s="281"/>
      <c r="BS85" s="299"/>
      <c r="BT85" s="276"/>
      <c r="BV85" s="283"/>
      <c r="BW85" s="281"/>
      <c r="BY85" s="276"/>
      <c r="CA85" s="283"/>
      <c r="CB85" s="281"/>
      <c r="CD85" s="276"/>
      <c r="CF85" s="283"/>
      <c r="CG85" s="281"/>
      <c r="CH85" s="299"/>
      <c r="CI85" s="276"/>
      <c r="CK85" s="283"/>
      <c r="CL85" s="281"/>
      <c r="CM85" s="299"/>
      <c r="CN85" s="276"/>
      <c r="CP85" s="283"/>
      <c r="CQ85" s="281"/>
      <c r="CR85" s="299"/>
      <c r="CS85" s="276"/>
      <c r="CU85" s="283"/>
      <c r="CV85" s="281"/>
      <c r="CW85" s="299"/>
      <c r="CX85" s="276"/>
      <c r="CZ85" s="283"/>
      <c r="DA85" s="281"/>
      <c r="DB85" s="299"/>
      <c r="DC85" s="276"/>
    </row>
    <row r="86" spans="1:107" x14ac:dyDescent="0.15">
      <c r="A86" s="272"/>
      <c r="B86" s="576" t="s">
        <v>837</v>
      </c>
      <c r="C86" s="573" t="str">
        <f t="shared" ref="C86:C91" si="1">IF(AND(D86="",F86=""),"",IF(F86="",D86,F86))</f>
        <v/>
      </c>
      <c r="D86" s="568" t="str" cm="1">
        <f t="array" ref="D86">IF(INDEX(86:86,$F$2)="","", INDEX(86:86, $F$2))</f>
        <v/>
      </c>
      <c r="E86" s="568"/>
      <c r="F86" s="565"/>
      <c r="G86" s="297"/>
      <c r="H86" s="273"/>
      <c r="M86" s="301" t="s">
        <v>837</v>
      </c>
      <c r="N86" s="281"/>
      <c r="O86" s="299"/>
      <c r="P86" s="276"/>
      <c r="R86" s="301" t="s">
        <v>837</v>
      </c>
      <c r="S86" s="281"/>
      <c r="T86" s="299"/>
      <c r="U86" s="276"/>
      <c r="W86" s="301" t="s">
        <v>837</v>
      </c>
      <c r="X86" s="281"/>
      <c r="Y86" s="299"/>
      <c r="Z86" s="276"/>
      <c r="AB86" s="301" t="s">
        <v>837</v>
      </c>
      <c r="AC86" s="281"/>
      <c r="AD86" s="299"/>
      <c r="AE86" s="276"/>
      <c r="AG86" s="301" t="s">
        <v>837</v>
      </c>
      <c r="AH86" s="281"/>
      <c r="AI86" s="299"/>
      <c r="AJ86" s="276"/>
      <c r="AL86" s="301" t="s">
        <v>837</v>
      </c>
      <c r="AM86" s="281"/>
      <c r="AN86" s="299"/>
      <c r="AO86" s="276"/>
      <c r="AQ86" s="301" t="s">
        <v>837</v>
      </c>
      <c r="AR86" s="281"/>
      <c r="AS86" s="299"/>
      <c r="AT86" s="276"/>
      <c r="AV86" s="301" t="s">
        <v>837</v>
      </c>
      <c r="AW86" s="281"/>
      <c r="AX86" s="299"/>
      <c r="AY86" s="276"/>
      <c r="BA86" s="301" t="s">
        <v>837</v>
      </c>
      <c r="BB86" s="281"/>
      <c r="BC86" s="299"/>
      <c r="BD86" s="276"/>
      <c r="BF86" s="301" t="s">
        <v>837</v>
      </c>
      <c r="BG86" s="281"/>
      <c r="BH86" s="299"/>
      <c r="BI86" s="276"/>
      <c r="BL86" s="301" t="s">
        <v>837</v>
      </c>
      <c r="BM86" s="281"/>
      <c r="BN86" s="299"/>
      <c r="BO86" s="276"/>
      <c r="BQ86" s="301" t="s">
        <v>837</v>
      </c>
      <c r="BR86" s="281"/>
      <c r="BS86" s="299"/>
      <c r="BT86" s="276"/>
      <c r="BV86" s="301" t="s">
        <v>837</v>
      </c>
      <c r="BW86" s="281"/>
      <c r="BY86" s="276"/>
      <c r="CA86" s="301" t="s">
        <v>837</v>
      </c>
      <c r="CB86" s="281"/>
      <c r="CD86" s="276"/>
      <c r="CF86" s="301" t="s">
        <v>837</v>
      </c>
      <c r="CG86" s="281"/>
      <c r="CH86" s="299"/>
      <c r="CI86" s="276"/>
      <c r="CK86" s="301" t="s">
        <v>837</v>
      </c>
      <c r="CL86" s="281"/>
      <c r="CM86" s="299"/>
      <c r="CN86" s="276"/>
      <c r="CP86" s="301" t="s">
        <v>837</v>
      </c>
      <c r="CQ86" s="281"/>
      <c r="CR86" s="299"/>
      <c r="CS86" s="276"/>
      <c r="CU86" s="301" t="s">
        <v>837</v>
      </c>
      <c r="CV86" s="281"/>
      <c r="CW86" s="299"/>
      <c r="CX86" s="276"/>
      <c r="CZ86" s="301" t="s">
        <v>837</v>
      </c>
      <c r="DA86" s="281"/>
      <c r="DB86" s="299"/>
      <c r="DC86" s="276"/>
    </row>
    <row r="87" spans="1:107" x14ac:dyDescent="0.15">
      <c r="A87" s="272"/>
      <c r="B87" s="569" t="s">
        <v>827</v>
      </c>
      <c r="C87" s="563" t="str">
        <f t="shared" si="1"/>
        <v>None</v>
      </c>
      <c r="D87" s="568" t="str" cm="1">
        <f t="array" ref="D87">IF(INDEX(87:87,$F$2)="","", INDEX(87:87, $F$2))</f>
        <v>None</v>
      </c>
      <c r="E87" s="568"/>
      <c r="F87" s="565"/>
      <c r="G87" s="297"/>
      <c r="H87" s="273"/>
      <c r="M87" s="283" t="s">
        <v>827</v>
      </c>
      <c r="N87" s="281" t="s">
        <v>828</v>
      </c>
      <c r="O87" s="299"/>
      <c r="P87" s="276"/>
      <c r="R87" s="283" t="s">
        <v>827</v>
      </c>
      <c r="S87" s="281" t="s">
        <v>828</v>
      </c>
      <c r="T87" s="299"/>
      <c r="U87" s="276"/>
      <c r="W87" s="283" t="s">
        <v>827</v>
      </c>
      <c r="X87" s="281" t="s">
        <v>828</v>
      </c>
      <c r="Y87" s="299"/>
      <c r="Z87" s="276"/>
      <c r="AB87" s="283" t="s">
        <v>827</v>
      </c>
      <c r="AC87" s="281" t="s">
        <v>828</v>
      </c>
      <c r="AD87" s="299"/>
      <c r="AE87" s="276"/>
      <c r="AG87" s="283" t="s">
        <v>827</v>
      </c>
      <c r="AH87" s="281" t="s">
        <v>828</v>
      </c>
      <c r="AI87" s="299"/>
      <c r="AJ87" s="276"/>
      <c r="AL87" s="283" t="s">
        <v>827</v>
      </c>
      <c r="AM87" s="281" t="s">
        <v>828</v>
      </c>
      <c r="AN87" s="299"/>
      <c r="AO87" s="276"/>
      <c r="AQ87" s="283" t="s">
        <v>827</v>
      </c>
      <c r="AR87" s="281" t="s">
        <v>828</v>
      </c>
      <c r="AS87" s="299"/>
      <c r="AT87" s="276"/>
      <c r="AV87" s="283" t="s">
        <v>827</v>
      </c>
      <c r="AW87" s="281" t="s">
        <v>828</v>
      </c>
      <c r="AX87" s="299"/>
      <c r="AY87" s="276"/>
      <c r="BA87" s="283" t="s">
        <v>827</v>
      </c>
      <c r="BB87" s="281" t="s">
        <v>828</v>
      </c>
      <c r="BC87" s="299"/>
      <c r="BD87" s="276"/>
      <c r="BF87" s="283" t="s">
        <v>827</v>
      </c>
      <c r="BG87" s="281" t="s">
        <v>828</v>
      </c>
      <c r="BH87" s="299"/>
      <c r="BI87" s="276"/>
      <c r="BL87" s="283" t="s">
        <v>827</v>
      </c>
      <c r="BM87" s="281" t="s">
        <v>828</v>
      </c>
      <c r="BN87" s="299"/>
      <c r="BO87" s="276"/>
      <c r="BQ87" s="283" t="s">
        <v>827</v>
      </c>
      <c r="BR87" s="281" t="s">
        <v>828</v>
      </c>
      <c r="BS87" s="299"/>
      <c r="BT87" s="276"/>
      <c r="BV87" s="283" t="s">
        <v>827</v>
      </c>
      <c r="BW87" s="281" t="s">
        <v>828</v>
      </c>
      <c r="BY87" s="276"/>
      <c r="CA87" s="283" t="s">
        <v>827</v>
      </c>
      <c r="CB87" s="281" t="s">
        <v>828</v>
      </c>
      <c r="CD87" s="276"/>
      <c r="CF87" s="283" t="s">
        <v>827</v>
      </c>
      <c r="CG87" s="281" t="s">
        <v>828</v>
      </c>
      <c r="CH87" s="299"/>
      <c r="CI87" s="276"/>
      <c r="CK87" s="283" t="s">
        <v>827</v>
      </c>
      <c r="CL87" s="281" t="s">
        <v>828</v>
      </c>
      <c r="CM87" s="299"/>
      <c r="CN87" s="276"/>
      <c r="CP87" s="283" t="s">
        <v>827</v>
      </c>
      <c r="CQ87" s="281" t="s">
        <v>828</v>
      </c>
      <c r="CR87" s="299"/>
      <c r="CS87" s="276"/>
      <c r="CU87" s="283" t="s">
        <v>827</v>
      </c>
      <c r="CV87" s="281" t="s">
        <v>828</v>
      </c>
      <c r="CW87" s="299"/>
      <c r="CX87" s="276"/>
      <c r="CZ87" s="283" t="s">
        <v>827</v>
      </c>
      <c r="DA87" s="281" t="s">
        <v>828</v>
      </c>
      <c r="DB87" s="299"/>
      <c r="DC87" s="276"/>
    </row>
    <row r="88" spans="1:107" x14ac:dyDescent="0.15">
      <c r="A88" s="272"/>
      <c r="B88" s="569" t="s">
        <v>838</v>
      </c>
      <c r="C88" s="582">
        <f t="shared" si="1"/>
        <v>0</v>
      </c>
      <c r="D88" s="568" cm="1">
        <f t="array" ref="D88">IF(INDEX(88:88,$F$2)="","", INDEX(88:88, $F$2))</f>
        <v>0</v>
      </c>
      <c r="E88" s="568"/>
      <c r="F88" s="583"/>
      <c r="G88" s="297"/>
      <c r="H88" s="273"/>
      <c r="M88" s="283" t="s">
        <v>839</v>
      </c>
      <c r="N88" s="281">
        <v>0</v>
      </c>
      <c r="O88" s="299"/>
      <c r="P88" s="276"/>
      <c r="R88" s="283" t="s">
        <v>839</v>
      </c>
      <c r="S88" s="281">
        <v>0</v>
      </c>
      <c r="T88" s="299"/>
      <c r="U88" s="276"/>
      <c r="W88" s="283" t="s">
        <v>839</v>
      </c>
      <c r="X88" s="281">
        <v>0</v>
      </c>
      <c r="Y88" s="299"/>
      <c r="Z88" s="276"/>
      <c r="AB88" s="283" t="s">
        <v>839</v>
      </c>
      <c r="AC88" s="281">
        <v>0</v>
      </c>
      <c r="AD88" s="299"/>
      <c r="AE88" s="276"/>
      <c r="AG88" s="283" t="s">
        <v>839</v>
      </c>
      <c r="AH88" s="281">
        <v>0</v>
      </c>
      <c r="AI88" s="299"/>
      <c r="AJ88" s="276"/>
      <c r="AL88" s="283" t="s">
        <v>839</v>
      </c>
      <c r="AM88" s="281">
        <v>0</v>
      </c>
      <c r="AN88" s="299"/>
      <c r="AO88" s="276"/>
      <c r="AQ88" s="283" t="s">
        <v>839</v>
      </c>
      <c r="AR88" s="281">
        <v>0</v>
      </c>
      <c r="AS88" s="299"/>
      <c r="AT88" s="276"/>
      <c r="AV88" s="283" t="s">
        <v>839</v>
      </c>
      <c r="AW88" s="281">
        <v>0</v>
      </c>
      <c r="AX88" s="299"/>
      <c r="AY88" s="276"/>
      <c r="BA88" s="283" t="s">
        <v>839</v>
      </c>
      <c r="BB88" s="281">
        <v>0</v>
      </c>
      <c r="BC88" s="299"/>
      <c r="BD88" s="276"/>
      <c r="BF88" s="283" t="s">
        <v>839</v>
      </c>
      <c r="BG88" s="281">
        <v>0</v>
      </c>
      <c r="BH88" s="299"/>
      <c r="BI88" s="276"/>
      <c r="BL88" s="283" t="s">
        <v>839</v>
      </c>
      <c r="BM88" s="281">
        <v>0</v>
      </c>
      <c r="BN88" s="299"/>
      <c r="BO88" s="276"/>
      <c r="BQ88" s="283" t="s">
        <v>839</v>
      </c>
      <c r="BR88" s="281">
        <v>0</v>
      </c>
      <c r="BS88" s="299"/>
      <c r="BT88" s="276"/>
      <c r="BV88" s="283" t="s">
        <v>839</v>
      </c>
      <c r="BW88" s="281">
        <v>0</v>
      </c>
      <c r="BY88" s="276"/>
      <c r="CA88" s="283" t="s">
        <v>839</v>
      </c>
      <c r="CB88" s="281">
        <v>0</v>
      </c>
      <c r="CD88" s="276"/>
      <c r="CF88" s="283" t="s">
        <v>839</v>
      </c>
      <c r="CG88" s="281">
        <v>0</v>
      </c>
      <c r="CH88" s="299"/>
      <c r="CI88" s="276"/>
      <c r="CK88" s="283" t="s">
        <v>839</v>
      </c>
      <c r="CL88" s="281">
        <v>0</v>
      </c>
      <c r="CM88" s="299"/>
      <c r="CN88" s="276"/>
      <c r="CP88" s="283" t="s">
        <v>839</v>
      </c>
      <c r="CQ88" s="281">
        <v>0</v>
      </c>
      <c r="CR88" s="299"/>
      <c r="CS88" s="276"/>
      <c r="CU88" s="283" t="s">
        <v>839</v>
      </c>
      <c r="CV88" s="281">
        <v>0</v>
      </c>
      <c r="CW88" s="299"/>
      <c r="CX88" s="276"/>
      <c r="CZ88" s="283" t="s">
        <v>839</v>
      </c>
      <c r="DA88" s="281">
        <v>0</v>
      </c>
      <c r="DB88" s="299"/>
      <c r="DC88" s="276"/>
    </row>
    <row r="89" spans="1:107" x14ac:dyDescent="0.15">
      <c r="A89" s="272"/>
      <c r="B89" s="569" t="s">
        <v>831</v>
      </c>
      <c r="C89" s="582">
        <f t="shared" si="1"/>
        <v>0</v>
      </c>
      <c r="D89" s="568" cm="1">
        <f t="array" ref="D89">IF(INDEX(89:89,$F$2)="","", INDEX(89:89, $F$2))</f>
        <v>0</v>
      </c>
      <c r="E89" s="568"/>
      <c r="F89" s="583"/>
      <c r="G89" s="297"/>
      <c r="H89" s="273"/>
      <c r="M89" s="283" t="s">
        <v>831</v>
      </c>
      <c r="N89" s="281">
        <v>0</v>
      </c>
      <c r="O89" s="299"/>
      <c r="P89" s="276"/>
      <c r="R89" s="283" t="s">
        <v>831</v>
      </c>
      <c r="S89" s="281">
        <v>0</v>
      </c>
      <c r="T89" s="299"/>
      <c r="U89" s="276"/>
      <c r="W89" s="283" t="s">
        <v>831</v>
      </c>
      <c r="X89" s="281">
        <v>0</v>
      </c>
      <c r="Y89" s="299"/>
      <c r="Z89" s="276"/>
      <c r="AB89" s="283" t="s">
        <v>831</v>
      </c>
      <c r="AC89" s="281">
        <v>0</v>
      </c>
      <c r="AD89" s="299"/>
      <c r="AE89" s="276"/>
      <c r="AG89" s="283" t="s">
        <v>831</v>
      </c>
      <c r="AH89" s="281">
        <v>0</v>
      </c>
      <c r="AI89" s="299"/>
      <c r="AJ89" s="276"/>
      <c r="AL89" s="283" t="s">
        <v>831</v>
      </c>
      <c r="AM89" s="281">
        <v>0</v>
      </c>
      <c r="AN89" s="299"/>
      <c r="AO89" s="276"/>
      <c r="AQ89" s="283" t="s">
        <v>831</v>
      </c>
      <c r="AR89" s="281">
        <v>0</v>
      </c>
      <c r="AS89" s="299"/>
      <c r="AT89" s="276"/>
      <c r="AV89" s="283" t="s">
        <v>831</v>
      </c>
      <c r="AW89" s="281">
        <v>0</v>
      </c>
      <c r="AX89" s="299"/>
      <c r="AY89" s="276"/>
      <c r="BA89" s="283" t="s">
        <v>831</v>
      </c>
      <c r="BB89" s="281">
        <v>0</v>
      </c>
      <c r="BC89" s="299"/>
      <c r="BD89" s="276"/>
      <c r="BF89" s="283" t="s">
        <v>831</v>
      </c>
      <c r="BG89" s="281">
        <v>0</v>
      </c>
      <c r="BH89" s="299"/>
      <c r="BI89" s="276"/>
      <c r="BL89" s="283" t="s">
        <v>831</v>
      </c>
      <c r="BM89" s="281">
        <v>0</v>
      </c>
      <c r="BN89" s="299"/>
      <c r="BO89" s="276"/>
      <c r="BQ89" s="283" t="s">
        <v>831</v>
      </c>
      <c r="BR89" s="281">
        <v>0</v>
      </c>
      <c r="BS89" s="299"/>
      <c r="BT89" s="276"/>
      <c r="BV89" s="283" t="s">
        <v>831</v>
      </c>
      <c r="BW89" s="281">
        <v>0</v>
      </c>
      <c r="BY89" s="276"/>
      <c r="CA89" s="283" t="s">
        <v>831</v>
      </c>
      <c r="CB89" s="281">
        <v>0</v>
      </c>
      <c r="CD89" s="276"/>
      <c r="CF89" s="283" t="s">
        <v>831</v>
      </c>
      <c r="CG89" s="281">
        <v>0</v>
      </c>
      <c r="CH89" s="299"/>
      <c r="CI89" s="276"/>
      <c r="CK89" s="283" t="s">
        <v>831</v>
      </c>
      <c r="CL89" s="281">
        <v>0</v>
      </c>
      <c r="CM89" s="299"/>
      <c r="CN89" s="276"/>
      <c r="CP89" s="283" t="s">
        <v>831</v>
      </c>
      <c r="CQ89" s="281">
        <v>0</v>
      </c>
      <c r="CR89" s="299"/>
      <c r="CS89" s="276"/>
      <c r="CU89" s="283" t="s">
        <v>831</v>
      </c>
      <c r="CV89" s="281">
        <v>0</v>
      </c>
      <c r="CW89" s="299"/>
      <c r="CX89" s="276"/>
      <c r="CZ89" s="283" t="s">
        <v>831</v>
      </c>
      <c r="DA89" s="281">
        <v>0</v>
      </c>
      <c r="DB89" s="299"/>
      <c r="DC89" s="276"/>
    </row>
    <row r="90" spans="1:107" x14ac:dyDescent="0.15">
      <c r="A90" s="272"/>
      <c r="B90" s="569" t="s">
        <v>832</v>
      </c>
      <c r="C90" s="1137">
        <f t="shared" si="1"/>
        <v>0</v>
      </c>
      <c r="D90" s="568" cm="1">
        <f t="array" ref="D90">IF(INDEX(90:90,$F$2)="","", INDEX(90:90, $F$2))</f>
        <v>0</v>
      </c>
      <c r="E90" s="568"/>
      <c r="F90" s="565"/>
      <c r="G90" s="297"/>
      <c r="H90" s="273"/>
      <c r="M90" s="283" t="s">
        <v>833</v>
      </c>
      <c r="N90" s="281">
        <v>0</v>
      </c>
      <c r="O90" s="299"/>
      <c r="P90" s="276"/>
      <c r="R90" s="283" t="s">
        <v>833</v>
      </c>
      <c r="S90" s="281">
        <v>0</v>
      </c>
      <c r="T90" s="299"/>
      <c r="U90" s="276"/>
      <c r="W90" s="283" t="s">
        <v>833</v>
      </c>
      <c r="X90" s="281">
        <v>0</v>
      </c>
      <c r="Y90" s="299"/>
      <c r="Z90" s="276"/>
      <c r="AB90" s="283" t="s">
        <v>833</v>
      </c>
      <c r="AC90" s="281">
        <v>0</v>
      </c>
      <c r="AD90" s="299"/>
      <c r="AE90" s="276"/>
      <c r="AG90" s="283" t="s">
        <v>833</v>
      </c>
      <c r="AH90" s="281">
        <v>0</v>
      </c>
      <c r="AI90" s="299"/>
      <c r="AJ90" s="276"/>
      <c r="AL90" s="283" t="s">
        <v>833</v>
      </c>
      <c r="AM90" s="281">
        <v>0</v>
      </c>
      <c r="AN90" s="299"/>
      <c r="AO90" s="276"/>
      <c r="AQ90" s="283" t="s">
        <v>833</v>
      </c>
      <c r="AR90" s="281">
        <v>0</v>
      </c>
      <c r="AS90" s="299"/>
      <c r="AT90" s="276"/>
      <c r="AV90" s="283" t="s">
        <v>833</v>
      </c>
      <c r="AW90" s="281">
        <v>0</v>
      </c>
      <c r="AX90" s="299"/>
      <c r="AY90" s="276"/>
      <c r="BA90" s="283" t="s">
        <v>833</v>
      </c>
      <c r="BB90" s="281">
        <v>0</v>
      </c>
      <c r="BC90" s="299"/>
      <c r="BD90" s="276"/>
      <c r="BF90" s="283" t="s">
        <v>833</v>
      </c>
      <c r="BG90" s="281">
        <v>0</v>
      </c>
      <c r="BH90" s="299"/>
      <c r="BI90" s="276"/>
      <c r="BL90" s="283" t="s">
        <v>833</v>
      </c>
      <c r="BM90" s="281">
        <v>0</v>
      </c>
      <c r="BN90" s="299"/>
      <c r="BO90" s="276"/>
      <c r="BQ90" s="283" t="s">
        <v>833</v>
      </c>
      <c r="BR90" s="281">
        <v>0</v>
      </c>
      <c r="BS90" s="299"/>
      <c r="BT90" s="276"/>
      <c r="BV90" s="283" t="s">
        <v>833</v>
      </c>
      <c r="BW90" s="281">
        <v>0</v>
      </c>
      <c r="BY90" s="276"/>
      <c r="CA90" s="283" t="s">
        <v>833</v>
      </c>
      <c r="CB90" s="281">
        <v>0</v>
      </c>
      <c r="CD90" s="276"/>
      <c r="CF90" s="283" t="s">
        <v>833</v>
      </c>
      <c r="CG90" s="281">
        <v>0</v>
      </c>
      <c r="CH90" s="299"/>
      <c r="CI90" s="276"/>
      <c r="CK90" s="283" t="s">
        <v>833</v>
      </c>
      <c r="CL90" s="281">
        <v>0</v>
      </c>
      <c r="CM90" s="299"/>
      <c r="CN90" s="276"/>
      <c r="CP90" s="283" t="s">
        <v>833</v>
      </c>
      <c r="CQ90" s="281">
        <v>0</v>
      </c>
      <c r="CR90" s="299"/>
      <c r="CS90" s="276"/>
      <c r="CU90" s="283" t="s">
        <v>833</v>
      </c>
      <c r="CV90" s="281">
        <v>0</v>
      </c>
      <c r="CW90" s="299"/>
      <c r="CX90" s="276"/>
      <c r="CZ90" s="283" t="s">
        <v>833</v>
      </c>
      <c r="DA90" s="281">
        <v>0</v>
      </c>
      <c r="DB90" s="299"/>
      <c r="DC90" s="276"/>
    </row>
    <row r="91" spans="1:107" ht="15" thickBot="1" x14ac:dyDescent="0.2">
      <c r="A91" s="272"/>
      <c r="B91" s="569"/>
      <c r="C91" s="573" t="str">
        <f t="shared" si="1"/>
        <v/>
      </c>
      <c r="D91" s="564"/>
      <c r="E91" s="564"/>
      <c r="F91" s="565"/>
      <c r="G91" s="297"/>
      <c r="H91" s="273"/>
      <c r="M91" s="283"/>
      <c r="N91" s="281"/>
      <c r="O91" s="299"/>
      <c r="P91" s="276"/>
      <c r="R91" s="283"/>
      <c r="S91" s="281"/>
      <c r="T91" s="299"/>
      <c r="U91" s="276"/>
      <c r="W91" s="283"/>
      <c r="X91" s="281"/>
      <c r="Y91" s="299"/>
      <c r="Z91" s="276"/>
      <c r="AB91" s="283"/>
      <c r="AC91" s="281"/>
      <c r="AD91" s="299"/>
      <c r="AE91" s="276"/>
      <c r="AG91" s="283"/>
      <c r="AH91" s="281"/>
      <c r="AI91" s="299"/>
      <c r="AJ91" s="276"/>
      <c r="AL91" s="283"/>
      <c r="AM91" s="281"/>
      <c r="AN91" s="299"/>
      <c r="AO91" s="276"/>
      <c r="AQ91" s="283"/>
      <c r="AR91" s="281"/>
      <c r="AS91" s="299"/>
      <c r="AT91" s="276"/>
      <c r="AV91" s="283"/>
      <c r="AW91" s="281"/>
      <c r="AX91" s="299"/>
      <c r="AY91" s="276"/>
      <c r="BA91" s="283"/>
      <c r="BB91" s="281"/>
      <c r="BC91" s="299"/>
      <c r="BD91" s="276"/>
      <c r="BF91" s="283"/>
      <c r="BG91" s="281"/>
      <c r="BH91" s="299"/>
      <c r="BI91" s="276"/>
      <c r="BL91" s="283"/>
      <c r="BM91" s="281"/>
      <c r="BN91" s="299"/>
      <c r="BO91" s="276"/>
      <c r="BQ91" s="283"/>
      <c r="BR91" s="281"/>
      <c r="BS91" s="299"/>
      <c r="BT91" s="276"/>
      <c r="BV91" s="283"/>
      <c r="BW91" s="281"/>
      <c r="BY91" s="276"/>
      <c r="CA91" s="283"/>
      <c r="CB91" s="281"/>
      <c r="CD91" s="276"/>
      <c r="CF91" s="283"/>
      <c r="CG91" s="281"/>
      <c r="CH91" s="299"/>
      <c r="CI91" s="276"/>
      <c r="CK91" s="283"/>
      <c r="CL91" s="281"/>
      <c r="CM91" s="299"/>
      <c r="CN91" s="276"/>
      <c r="CP91" s="283"/>
      <c r="CQ91" s="281"/>
      <c r="CR91" s="299"/>
      <c r="CS91" s="276"/>
      <c r="CU91" s="283"/>
      <c r="CV91" s="281"/>
      <c r="CW91" s="299"/>
      <c r="CX91" s="276"/>
      <c r="CZ91" s="283"/>
      <c r="DA91" s="281"/>
      <c r="DB91" s="299"/>
      <c r="DC91" s="276"/>
    </row>
    <row r="92" spans="1:107" ht="19" thickBot="1" x14ac:dyDescent="0.25">
      <c r="A92" s="272"/>
      <c r="B92" s="440" t="s">
        <v>840</v>
      </c>
      <c r="C92" s="577"/>
      <c r="D92" s="577"/>
      <c r="E92" s="577"/>
      <c r="F92" s="577"/>
      <c r="G92" s="439"/>
      <c r="M92" s="305" t="s">
        <v>841</v>
      </c>
      <c r="N92" s="258"/>
      <c r="O92" s="258"/>
      <c r="P92" s="276"/>
      <c r="R92" s="305" t="s">
        <v>841</v>
      </c>
      <c r="S92" s="258"/>
      <c r="T92" s="258"/>
      <c r="U92" s="276"/>
      <c r="W92" s="305" t="s">
        <v>841</v>
      </c>
      <c r="Z92" s="276"/>
      <c r="AB92" s="305" t="s">
        <v>841</v>
      </c>
      <c r="AE92" s="276"/>
      <c r="AG92" s="305" t="s">
        <v>841</v>
      </c>
      <c r="AJ92" s="276"/>
      <c r="AL92" s="305" t="s">
        <v>841</v>
      </c>
      <c r="AO92" s="276"/>
      <c r="AQ92" s="305" t="s">
        <v>841</v>
      </c>
      <c r="AT92" s="276"/>
      <c r="AV92" s="305" t="s">
        <v>841</v>
      </c>
      <c r="AY92" s="276"/>
      <c r="BA92" s="305" t="s">
        <v>841</v>
      </c>
      <c r="BD92" s="276"/>
      <c r="BF92" s="305" t="s">
        <v>841</v>
      </c>
      <c r="BI92" s="276"/>
      <c r="BL92" s="305" t="s">
        <v>841</v>
      </c>
      <c r="BO92" s="276"/>
      <c r="BQ92" s="305" t="s">
        <v>841</v>
      </c>
      <c r="BT92" s="276"/>
      <c r="BV92" s="305" t="s">
        <v>841</v>
      </c>
      <c r="BY92" s="276"/>
      <c r="CA92" s="305" t="s">
        <v>841</v>
      </c>
      <c r="CD92" s="276"/>
      <c r="CF92" s="305" t="s">
        <v>841</v>
      </c>
      <c r="CI92" s="276"/>
      <c r="CK92" s="305" t="s">
        <v>841</v>
      </c>
      <c r="CN92" s="276"/>
      <c r="CP92" s="305" t="s">
        <v>841</v>
      </c>
      <c r="CS92" s="276"/>
      <c r="CU92" s="305" t="s">
        <v>841</v>
      </c>
      <c r="CX92" s="276"/>
      <c r="CZ92" s="305" t="s">
        <v>841</v>
      </c>
      <c r="DC92" s="276"/>
    </row>
    <row r="93" spans="1:107" x14ac:dyDescent="0.15">
      <c r="A93" s="272"/>
      <c r="B93" s="357" t="s">
        <v>467</v>
      </c>
      <c r="C93" s="573">
        <f>IF(AND(D93="",F93=""),"",IF(F93="",D93,F93))</f>
        <v>9</v>
      </c>
      <c r="D93" s="568" cm="1">
        <f t="array" ref="D93">IF(INDEX(93:93,$F$2)="","", INDEX(93:93, $F$2))</f>
        <v>9</v>
      </c>
      <c r="E93" s="568"/>
      <c r="F93" s="565"/>
      <c r="G93" s="590"/>
      <c r="M93" s="309" t="s">
        <v>467</v>
      </c>
      <c r="N93" s="299">
        <v>9</v>
      </c>
      <c r="O93" s="258"/>
      <c r="P93" s="276"/>
      <c r="R93" s="309" t="s">
        <v>467</v>
      </c>
      <c r="S93" s="299">
        <v>9</v>
      </c>
      <c r="T93" s="258"/>
      <c r="U93" s="276"/>
      <c r="W93" s="309" t="s">
        <v>467</v>
      </c>
      <c r="X93" s="299">
        <v>9</v>
      </c>
      <c r="Z93" s="276"/>
      <c r="AB93" s="309" t="s">
        <v>467</v>
      </c>
      <c r="AC93" s="299">
        <v>9</v>
      </c>
      <c r="AE93" s="276"/>
      <c r="AG93" s="309" t="s">
        <v>467</v>
      </c>
      <c r="AH93" s="299">
        <v>9</v>
      </c>
      <c r="AJ93" s="276"/>
      <c r="AL93" s="309" t="s">
        <v>467</v>
      </c>
      <c r="AM93" s="299">
        <v>9</v>
      </c>
      <c r="AO93" s="276"/>
      <c r="AQ93" s="309" t="s">
        <v>467</v>
      </c>
      <c r="AR93" s="299">
        <v>9</v>
      </c>
      <c r="AT93" s="276"/>
      <c r="AV93" s="309" t="s">
        <v>467</v>
      </c>
      <c r="AW93" s="299">
        <v>9</v>
      </c>
      <c r="AY93" s="276"/>
      <c r="BA93" s="309" t="s">
        <v>467</v>
      </c>
      <c r="BB93" s="299">
        <v>9</v>
      </c>
      <c r="BD93" s="276"/>
      <c r="BF93" s="309" t="s">
        <v>467</v>
      </c>
      <c r="BG93" s="299">
        <v>9</v>
      </c>
      <c r="BI93" s="276"/>
      <c r="BL93" s="309" t="s">
        <v>467</v>
      </c>
      <c r="BM93" s="299">
        <v>9</v>
      </c>
      <c r="BO93" s="276"/>
      <c r="BQ93" s="309" t="s">
        <v>467</v>
      </c>
      <c r="BR93" s="299">
        <v>9</v>
      </c>
      <c r="BT93" s="276"/>
      <c r="BV93" s="309" t="s">
        <v>467</v>
      </c>
      <c r="BW93" s="299">
        <v>9</v>
      </c>
      <c r="BY93" s="276"/>
      <c r="CA93" s="309" t="s">
        <v>467</v>
      </c>
      <c r="CB93" s="299">
        <v>9</v>
      </c>
      <c r="CD93" s="276"/>
      <c r="CF93" s="309" t="s">
        <v>467</v>
      </c>
      <c r="CG93" s="299">
        <v>9</v>
      </c>
      <c r="CI93" s="276"/>
      <c r="CK93" s="309" t="s">
        <v>467</v>
      </c>
      <c r="CL93" s="299">
        <v>9</v>
      </c>
      <c r="CN93" s="276"/>
      <c r="CP93" s="309" t="s">
        <v>467</v>
      </c>
      <c r="CQ93" s="284" cm="1">
        <f t="array" ref="CQ93">INDEX(93:93, $CS$10)*$CS$8 + INDEX(93:93, $CS$11)*(1-$CS$8)</f>
        <v>9</v>
      </c>
      <c r="CS93" s="276"/>
      <c r="CU93" s="309" t="s">
        <v>467</v>
      </c>
      <c r="CV93" s="299">
        <v>9</v>
      </c>
      <c r="CX93" s="276"/>
      <c r="CZ93" s="309" t="s">
        <v>467</v>
      </c>
      <c r="DA93" s="299">
        <v>9</v>
      </c>
      <c r="DC93" s="276"/>
    </row>
    <row r="94" spans="1:107" x14ac:dyDescent="0.15">
      <c r="A94" s="272"/>
      <c r="B94" s="357"/>
      <c r="C94" s="573"/>
      <c r="D94" s="568"/>
      <c r="E94" s="568"/>
      <c r="F94" s="565"/>
      <c r="G94" s="590"/>
      <c r="M94" s="309"/>
      <c r="N94" s="258"/>
      <c r="O94" s="258"/>
      <c r="P94" s="276"/>
      <c r="R94" s="309"/>
      <c r="S94" s="258"/>
      <c r="T94" s="258"/>
      <c r="U94" s="276"/>
      <c r="W94" s="309"/>
      <c r="X94" s="299"/>
      <c r="Z94" s="276"/>
      <c r="AB94" s="309"/>
      <c r="AC94" s="299"/>
      <c r="AE94" s="276"/>
      <c r="AG94" s="309"/>
      <c r="AJ94" s="276"/>
      <c r="AL94" s="309"/>
      <c r="AO94" s="276"/>
      <c r="AQ94" s="309"/>
      <c r="AT94" s="276"/>
      <c r="AV94" s="309"/>
      <c r="AY94" s="276"/>
      <c r="BA94" s="309"/>
      <c r="BD94" s="276"/>
      <c r="BF94" s="309"/>
      <c r="BI94" s="276"/>
      <c r="BL94" s="309"/>
      <c r="BO94" s="276"/>
      <c r="BQ94" s="309"/>
      <c r="BT94" s="276"/>
      <c r="BV94" s="309"/>
      <c r="BY94" s="276"/>
      <c r="CA94" s="309"/>
      <c r="CD94" s="276"/>
      <c r="CF94" s="309"/>
      <c r="CI94" s="276"/>
      <c r="CK94" s="309"/>
      <c r="CN94" s="276"/>
      <c r="CP94" s="309"/>
      <c r="CS94" s="276"/>
      <c r="CU94" s="309"/>
      <c r="CX94" s="276"/>
      <c r="CZ94" s="309"/>
      <c r="DC94" s="276"/>
    </row>
    <row r="95" spans="1:107" ht="16" x14ac:dyDescent="0.2">
      <c r="A95" s="272"/>
      <c r="B95" s="475" t="s">
        <v>842</v>
      </c>
      <c r="C95" s="573" t="str">
        <f>IF(AND(D95="",F95=""),"",IF(F95="",D95,F95))</f>
        <v/>
      </c>
      <c r="D95" s="568" t="str" cm="1">
        <f t="array" ref="D95">IF(INDEX(95:95,$F$2)="","", INDEX(95:95, $F$2))</f>
        <v/>
      </c>
      <c r="E95" s="568"/>
      <c r="F95" s="565"/>
      <c r="G95" s="590"/>
      <c r="M95" s="606" t="s">
        <v>842</v>
      </c>
      <c r="N95" s="258"/>
      <c r="O95" s="258"/>
      <c r="P95" s="276"/>
      <c r="R95" s="606" t="s">
        <v>842</v>
      </c>
      <c r="S95" s="258"/>
      <c r="T95" s="258"/>
      <c r="U95" s="276"/>
      <c r="W95" s="606" t="s">
        <v>842</v>
      </c>
      <c r="X95" s="299"/>
      <c r="Z95" s="276"/>
      <c r="AB95" s="606" t="s">
        <v>842</v>
      </c>
      <c r="AC95" s="299"/>
      <c r="AE95" s="276"/>
      <c r="AG95" s="606" t="s">
        <v>842</v>
      </c>
      <c r="AJ95" s="276"/>
      <c r="AL95" s="606" t="s">
        <v>842</v>
      </c>
      <c r="AO95" s="276"/>
      <c r="AQ95" s="606" t="s">
        <v>842</v>
      </c>
      <c r="AT95" s="276"/>
      <c r="AV95" s="606" t="s">
        <v>842</v>
      </c>
      <c r="AY95" s="276"/>
      <c r="BA95" s="606" t="s">
        <v>842</v>
      </c>
      <c r="BD95" s="276"/>
      <c r="BF95" s="606" t="s">
        <v>842</v>
      </c>
      <c r="BI95" s="276"/>
      <c r="BL95" s="606" t="s">
        <v>842</v>
      </c>
      <c r="BO95" s="276"/>
      <c r="BQ95" s="606" t="s">
        <v>842</v>
      </c>
      <c r="BT95" s="276"/>
      <c r="BV95" s="606" t="s">
        <v>842</v>
      </c>
      <c r="BY95" s="276"/>
      <c r="CA95" s="606" t="s">
        <v>842</v>
      </c>
      <c r="CD95" s="276"/>
      <c r="CF95" s="606" t="s">
        <v>842</v>
      </c>
      <c r="CI95" s="276"/>
      <c r="CK95" s="606" t="s">
        <v>842</v>
      </c>
      <c r="CN95" s="276"/>
      <c r="CP95" s="606" t="s">
        <v>842</v>
      </c>
      <c r="CS95" s="276"/>
      <c r="CU95" s="606" t="s">
        <v>842</v>
      </c>
      <c r="CX95" s="276"/>
      <c r="CZ95" s="606" t="s">
        <v>842</v>
      </c>
      <c r="DC95" s="276"/>
    </row>
    <row r="96" spans="1:107" x14ac:dyDescent="0.15">
      <c r="A96" s="272"/>
      <c r="B96" s="584" t="s">
        <v>843</v>
      </c>
      <c r="C96" s="573">
        <f>IF(AND(D96="",F96=""),"",IF(F96="",D96+E96,F96))</f>
        <v>3</v>
      </c>
      <c r="D96" s="564" cm="1">
        <f t="array" ref="D96">IF(INDEX(96:96,$F$2)="","", INDEX(96:96, $F$2))</f>
        <v>3</v>
      </c>
      <c r="E96" s="1106">
        <f>Lists!O150</f>
        <v>0</v>
      </c>
      <c r="F96" s="678"/>
      <c r="G96" s="590"/>
      <c r="M96" s="605" t="s">
        <v>843</v>
      </c>
      <c r="N96" s="542">
        <v>3</v>
      </c>
      <c r="O96" s="258"/>
      <c r="P96" s="276"/>
      <c r="R96" s="605" t="s">
        <v>843</v>
      </c>
      <c r="S96" s="542">
        <v>3</v>
      </c>
      <c r="T96" s="258"/>
      <c r="U96" s="276"/>
      <c r="W96" s="605" t="s">
        <v>843</v>
      </c>
      <c r="X96" s="542">
        <v>3</v>
      </c>
      <c r="Y96" s="544"/>
      <c r="Z96" s="545"/>
      <c r="AB96" s="605" t="s">
        <v>843</v>
      </c>
      <c r="AC96" s="542">
        <v>3</v>
      </c>
      <c r="AE96" s="276"/>
      <c r="AF96" s="544"/>
      <c r="AG96" s="605" t="s">
        <v>843</v>
      </c>
      <c r="AH96" s="542">
        <v>3</v>
      </c>
      <c r="AJ96" s="276"/>
      <c r="AL96" s="605" t="s">
        <v>843</v>
      </c>
      <c r="AM96" s="542">
        <v>3</v>
      </c>
      <c r="AO96" s="276"/>
      <c r="AQ96" s="605" t="s">
        <v>843</v>
      </c>
      <c r="AR96" s="542">
        <v>3</v>
      </c>
      <c r="AT96" s="276"/>
      <c r="AV96" s="605" t="s">
        <v>843</v>
      </c>
      <c r="AW96" s="542">
        <v>3</v>
      </c>
      <c r="AY96" s="276"/>
      <c r="BA96" s="605" t="s">
        <v>843</v>
      </c>
      <c r="BB96" s="542">
        <v>3</v>
      </c>
      <c r="BD96" s="276"/>
      <c r="BF96" s="605" t="s">
        <v>843</v>
      </c>
      <c r="BG96" s="542">
        <v>3</v>
      </c>
      <c r="BI96" s="276"/>
      <c r="BL96" s="605" t="s">
        <v>843</v>
      </c>
      <c r="BM96" s="542">
        <v>3</v>
      </c>
      <c r="BO96" s="276"/>
      <c r="BQ96" s="605" t="s">
        <v>843</v>
      </c>
      <c r="BR96" s="542">
        <v>3</v>
      </c>
      <c r="BT96" s="276"/>
      <c r="BV96" s="605" t="s">
        <v>843</v>
      </c>
      <c r="BW96" s="542">
        <v>2.5</v>
      </c>
      <c r="BY96" s="276"/>
      <c r="CA96" s="605" t="s">
        <v>843</v>
      </c>
      <c r="CB96" s="542">
        <v>2.5</v>
      </c>
      <c r="CD96" s="276"/>
      <c r="CF96" s="605" t="s">
        <v>843</v>
      </c>
      <c r="CG96" s="740">
        <v>3.2</v>
      </c>
      <c r="CI96" s="276"/>
      <c r="CK96" s="605" t="s">
        <v>843</v>
      </c>
      <c r="CL96" s="740">
        <v>3.2</v>
      </c>
      <c r="CN96" s="276"/>
      <c r="CP96" s="605" t="s">
        <v>843</v>
      </c>
      <c r="CQ96" s="281" cm="1">
        <f t="array" ref="CQ96">INDEX(96:96, $CS$10)*$CS$8 + INDEX(96:96, $CS$11)*(1-$CS$8)</f>
        <v>3.1</v>
      </c>
      <c r="CS96" s="276"/>
      <c r="CU96" s="605" t="s">
        <v>843</v>
      </c>
      <c r="CV96" s="740">
        <v>2.1</v>
      </c>
      <c r="CX96" s="276"/>
      <c r="CZ96" s="605" t="s">
        <v>843</v>
      </c>
      <c r="DA96" s="740">
        <v>2.1</v>
      </c>
      <c r="DC96" s="276"/>
    </row>
    <row r="97" spans="1:107" x14ac:dyDescent="0.15">
      <c r="A97" s="272"/>
      <c r="B97" s="584" t="s">
        <v>844</v>
      </c>
      <c r="C97" s="573">
        <f t="shared" ref="C97:C106" si="2">IF(AND(D97="",F97=""),"",IF(F97="",D97+E97,F97))</f>
        <v>3.5361555825881736</v>
      </c>
      <c r="D97" s="564" cm="1">
        <f t="array" ref="D97">IF(INDEX(97:97,$F$2)="","", INDEX(97:97, $F$2))</f>
        <v>3.5361555825881736</v>
      </c>
      <c r="E97" s="1106">
        <f>Lists!O151</f>
        <v>0</v>
      </c>
      <c r="F97" s="678"/>
      <c r="G97" s="590"/>
      <c r="M97" s="605" t="s">
        <v>844</v>
      </c>
      <c r="N97" s="542">
        <v>3.5183632200022039</v>
      </c>
      <c r="O97" s="258"/>
      <c r="P97" s="276"/>
      <c r="R97" s="605" t="s">
        <v>844</v>
      </c>
      <c r="S97" s="542">
        <v>3.5183632200022039</v>
      </c>
      <c r="T97" s="258"/>
      <c r="U97" s="276"/>
      <c r="W97" s="605" t="s">
        <v>844</v>
      </c>
      <c r="X97" s="542">
        <v>3.5361555825881736</v>
      </c>
      <c r="Y97" s="544"/>
      <c r="Z97" s="545"/>
      <c r="AB97" s="605" t="s">
        <v>844</v>
      </c>
      <c r="AC97" s="542">
        <v>3.5361555825881736</v>
      </c>
      <c r="AE97" s="276"/>
      <c r="AF97" s="544"/>
      <c r="AG97" s="605" t="s">
        <v>844</v>
      </c>
      <c r="AH97" s="542">
        <v>3.5263084327695378</v>
      </c>
      <c r="AJ97" s="276"/>
      <c r="AL97" s="605" t="s">
        <v>844</v>
      </c>
      <c r="AM97" s="542">
        <v>3.5263084327695378</v>
      </c>
      <c r="AO97" s="276"/>
      <c r="AQ97" s="605" t="s">
        <v>844</v>
      </c>
      <c r="AR97" s="542">
        <v>3.4793357075413334</v>
      </c>
      <c r="AT97" s="276"/>
      <c r="AV97" s="605" t="s">
        <v>844</v>
      </c>
      <c r="AW97" s="542">
        <v>3.4793357075413334</v>
      </c>
      <c r="AY97" s="276"/>
      <c r="BA97" s="605" t="s">
        <v>844</v>
      </c>
      <c r="BB97" s="542">
        <v>3.4112697338134095</v>
      </c>
      <c r="BD97" s="276"/>
      <c r="BF97" s="605" t="s">
        <v>844</v>
      </c>
      <c r="BG97" s="542">
        <v>3.4112697338134095</v>
      </c>
      <c r="BI97" s="276"/>
      <c r="BL97" s="605" t="s">
        <v>844</v>
      </c>
      <c r="BM97" s="542">
        <v>3.4531662339724392</v>
      </c>
      <c r="BO97" s="276"/>
      <c r="BQ97" s="605" t="s">
        <v>844</v>
      </c>
      <c r="BR97" s="542">
        <v>3.4531662339724392</v>
      </c>
      <c r="BT97" s="276"/>
      <c r="BV97" s="605" t="s">
        <v>844</v>
      </c>
      <c r="BW97" s="542">
        <v>3.2256452967433331</v>
      </c>
      <c r="BY97" s="276"/>
      <c r="CA97" s="605" t="s">
        <v>844</v>
      </c>
      <c r="CB97" s="542">
        <v>3.2256452967433331</v>
      </c>
      <c r="CD97" s="276"/>
      <c r="CF97" s="605" t="s">
        <v>844</v>
      </c>
      <c r="CG97" s="740">
        <v>3.7522758999290051</v>
      </c>
      <c r="CI97" s="276"/>
      <c r="CK97" s="605" t="s">
        <v>844</v>
      </c>
      <c r="CL97" s="740">
        <v>3.7522758999290051</v>
      </c>
      <c r="CN97" s="276"/>
      <c r="CP97" s="605" t="s">
        <v>844</v>
      </c>
      <c r="CQ97" s="281" cm="1">
        <f t="array" ref="CQ97">INDEX(97:97, $CS$10)*$CS$8 + INDEX(97:97, $CS$11)*(1-$CS$8)</f>
        <v>3.6442157412585896</v>
      </c>
      <c r="CS97" s="276"/>
      <c r="CU97" s="605" t="s">
        <v>844</v>
      </c>
      <c r="CV97" s="740">
        <v>2.396409186549429</v>
      </c>
      <c r="CX97" s="276"/>
      <c r="CZ97" s="605" t="s">
        <v>844</v>
      </c>
      <c r="DA97" s="740">
        <v>2.396409186549429</v>
      </c>
      <c r="DC97" s="276"/>
    </row>
    <row r="98" spans="1:107" x14ac:dyDescent="0.15">
      <c r="A98" s="272"/>
      <c r="B98" s="584" t="s">
        <v>845</v>
      </c>
      <c r="C98" s="573">
        <f t="shared" si="2"/>
        <v>3.6031981471818249</v>
      </c>
      <c r="D98" s="564" cm="1">
        <f t="array" ref="D98">IF(INDEX(98:98,$F$2)="","", INDEX(98:98, $F$2))</f>
        <v>3.6031981471818249</v>
      </c>
      <c r="E98" s="1106">
        <f>Lists!O152</f>
        <v>0</v>
      </c>
      <c r="F98" s="678"/>
      <c r="G98" s="590"/>
      <c r="M98" s="605" t="s">
        <v>845</v>
      </c>
      <c r="N98" s="542">
        <v>3.5977412219241467</v>
      </c>
      <c r="O98" s="258"/>
      <c r="P98" s="276"/>
      <c r="R98" s="605" t="s">
        <v>845</v>
      </c>
      <c r="S98" s="542">
        <v>3.5977412219241467</v>
      </c>
      <c r="T98" s="258"/>
      <c r="U98" s="276"/>
      <c r="W98" s="605" t="s">
        <v>845</v>
      </c>
      <c r="X98" s="542">
        <v>3.6031981471818249</v>
      </c>
      <c r="Y98" s="544"/>
      <c r="Z98" s="545"/>
      <c r="AB98" s="605" t="s">
        <v>845</v>
      </c>
      <c r="AC98" s="542">
        <v>3.6031981471818249</v>
      </c>
      <c r="AE98" s="276"/>
      <c r="AF98" s="544"/>
      <c r="AG98" s="605" t="s">
        <v>845</v>
      </c>
      <c r="AH98" s="542">
        <v>3.5899365933149467</v>
      </c>
      <c r="AJ98" s="276"/>
      <c r="AL98" s="605" t="s">
        <v>845</v>
      </c>
      <c r="AM98" s="542">
        <v>3.5899365933149467</v>
      </c>
      <c r="AO98" s="276"/>
      <c r="AQ98" s="605" t="s">
        <v>845</v>
      </c>
      <c r="AR98" s="542">
        <v>3.5561368512112796</v>
      </c>
      <c r="AT98" s="276"/>
      <c r="AV98" s="605" t="s">
        <v>845</v>
      </c>
      <c r="AW98" s="542">
        <v>3.5561368512112796</v>
      </c>
      <c r="AY98" s="276"/>
      <c r="BA98" s="605" t="s">
        <v>845</v>
      </c>
      <c r="BB98" s="542">
        <v>3.5017698889811402</v>
      </c>
      <c r="BD98" s="276"/>
      <c r="BF98" s="605" t="s">
        <v>845</v>
      </c>
      <c r="BG98" s="542">
        <v>3.5017698889811402</v>
      </c>
      <c r="BI98" s="276"/>
      <c r="BL98" s="605" t="s">
        <v>845</v>
      </c>
      <c r="BM98" s="542">
        <v>3.5323172915742953</v>
      </c>
      <c r="BO98" s="276"/>
      <c r="BQ98" s="605" t="s">
        <v>845</v>
      </c>
      <c r="BR98" s="542">
        <v>3.5323172915742953</v>
      </c>
      <c r="BT98" s="276"/>
      <c r="BV98" s="605" t="s">
        <v>845</v>
      </c>
      <c r="BW98" s="542">
        <v>3.281687675638445</v>
      </c>
      <c r="BY98" s="276"/>
      <c r="CA98" s="605" t="s">
        <v>845</v>
      </c>
      <c r="CB98" s="542">
        <v>3.281687675638445</v>
      </c>
      <c r="CD98" s="276"/>
      <c r="CF98" s="605" t="s">
        <v>845</v>
      </c>
      <c r="CG98" s="740">
        <v>3.8237623438019641</v>
      </c>
      <c r="CI98" s="276"/>
      <c r="CK98" s="605" t="s">
        <v>845</v>
      </c>
      <c r="CL98" s="740">
        <v>3.8237623438019641</v>
      </c>
      <c r="CN98" s="276"/>
      <c r="CP98" s="605" t="s">
        <v>845</v>
      </c>
      <c r="CQ98" s="281" cm="1">
        <f t="array" ref="CQ98">INDEX(98:98, $CS$10)*$CS$8 + INDEX(98:98, $CS$11)*(1-$CS$8)</f>
        <v>3.7134802454918945</v>
      </c>
      <c r="CS98" s="276"/>
      <c r="CU98" s="605" t="s">
        <v>845</v>
      </c>
      <c r="CV98" s="740">
        <v>2.4228860585753287</v>
      </c>
      <c r="CX98" s="276"/>
      <c r="CZ98" s="605" t="s">
        <v>845</v>
      </c>
      <c r="DA98" s="740">
        <v>2.4228860585753287</v>
      </c>
      <c r="DC98" s="276"/>
    </row>
    <row r="99" spans="1:107" x14ac:dyDescent="0.15">
      <c r="A99" s="272"/>
      <c r="B99" s="584" t="s">
        <v>846</v>
      </c>
      <c r="C99" s="573">
        <f t="shared" si="2"/>
        <v>3.6493038048930022</v>
      </c>
      <c r="D99" s="564" cm="1">
        <f t="array" ref="D99">IF(INDEX(99:99,$F$2)="","", INDEX(99:99, $F$2))</f>
        <v>3.6493038048930022</v>
      </c>
      <c r="E99" s="1106">
        <f>Lists!O153</f>
        <v>0</v>
      </c>
      <c r="F99" s="678"/>
      <c r="G99" s="590"/>
      <c r="M99" s="605" t="s">
        <v>846</v>
      </c>
      <c r="N99" s="542">
        <v>3.6525203387771588</v>
      </c>
      <c r="O99" s="258"/>
      <c r="P99" s="276"/>
      <c r="R99" s="605" t="s">
        <v>846</v>
      </c>
      <c r="S99" s="542">
        <v>3.6525203387771588</v>
      </c>
      <c r="T99" s="258"/>
      <c r="U99" s="276"/>
      <c r="W99" s="605" t="s">
        <v>846</v>
      </c>
      <c r="X99" s="542">
        <v>3.6493038048930022</v>
      </c>
      <c r="Y99" s="544"/>
      <c r="Z99" s="545"/>
      <c r="AB99" s="605" t="s">
        <v>846</v>
      </c>
      <c r="AC99" s="542">
        <v>3.6493038048930022</v>
      </c>
      <c r="AE99" s="276"/>
      <c r="AF99" s="544"/>
      <c r="AG99" s="605" t="s">
        <v>846</v>
      </c>
      <c r="AH99" s="542">
        <v>3.6394334094229621</v>
      </c>
      <c r="AJ99" s="276"/>
      <c r="AL99" s="605" t="s">
        <v>846</v>
      </c>
      <c r="AM99" s="542">
        <v>3.6394334094229621</v>
      </c>
      <c r="AO99" s="276"/>
      <c r="AQ99" s="605" t="s">
        <v>846</v>
      </c>
      <c r="AR99" s="542">
        <v>3.617431761667889</v>
      </c>
      <c r="AT99" s="276"/>
      <c r="AV99" s="605" t="s">
        <v>846</v>
      </c>
      <c r="AW99" s="542">
        <v>3.617431761667889</v>
      </c>
      <c r="AY99" s="276"/>
      <c r="BA99" s="605" t="s">
        <v>846</v>
      </c>
      <c r="BB99" s="542">
        <v>3.5859813059041024</v>
      </c>
      <c r="BD99" s="276"/>
      <c r="BF99" s="605" t="s">
        <v>846</v>
      </c>
      <c r="BG99" s="542">
        <v>3.5859813059041024</v>
      </c>
      <c r="BI99" s="276"/>
      <c r="BL99" s="605" t="s">
        <v>846</v>
      </c>
      <c r="BM99" s="542">
        <v>3.597201386128198</v>
      </c>
      <c r="BO99" s="276"/>
      <c r="BQ99" s="605" t="s">
        <v>846</v>
      </c>
      <c r="BR99" s="542">
        <v>3.597201386128198</v>
      </c>
      <c r="BT99" s="276"/>
      <c r="BV99" s="605" t="s">
        <v>846</v>
      </c>
      <c r="BW99" s="542">
        <v>3.3146943119985521</v>
      </c>
      <c r="BY99" s="276"/>
      <c r="CA99" s="605" t="s">
        <v>846</v>
      </c>
      <c r="CB99" s="542">
        <v>3.3146943119985521</v>
      </c>
      <c r="CD99" s="276"/>
      <c r="CF99" s="605" t="s">
        <v>846</v>
      </c>
      <c r="CG99" s="740">
        <v>3.8682774817524903</v>
      </c>
      <c r="CI99" s="276"/>
      <c r="CK99" s="605" t="s">
        <v>846</v>
      </c>
      <c r="CL99" s="740">
        <v>3.8682774817524903</v>
      </c>
      <c r="CN99" s="276"/>
      <c r="CP99" s="605" t="s">
        <v>846</v>
      </c>
      <c r="CQ99" s="281" cm="1">
        <f t="array" ref="CQ99">INDEX(99:99, $CS$10)*$CS$8 + INDEX(99:99, $CS$11)*(1-$CS$8)</f>
        <v>3.7587906433227465</v>
      </c>
      <c r="CS99" s="276"/>
      <c r="CU99" s="605" t="s">
        <v>846</v>
      </c>
      <c r="CV99" s="740">
        <v>2.4365361071597187</v>
      </c>
      <c r="CX99" s="276"/>
      <c r="CZ99" s="605" t="s">
        <v>846</v>
      </c>
      <c r="DA99" s="740">
        <v>2.4365361071597187</v>
      </c>
      <c r="DC99" s="276"/>
    </row>
    <row r="100" spans="1:107" x14ac:dyDescent="0.15">
      <c r="A100" s="272"/>
      <c r="B100" s="584" t="s">
        <v>847</v>
      </c>
      <c r="C100" s="573">
        <f t="shared" si="2"/>
        <v>3.6730491343489282</v>
      </c>
      <c r="D100" s="564" cm="1">
        <f t="array" ref="D100">IF(INDEX(100:100,$F$2)="","", INDEX(100:100, $F$2))</f>
        <v>3.6730491343489282</v>
      </c>
      <c r="E100" s="1106">
        <f>Lists!O154</f>
        <v>0</v>
      </c>
      <c r="F100" s="678"/>
      <c r="G100" s="590"/>
      <c r="M100" s="605" t="s">
        <v>847</v>
      </c>
      <c r="N100" s="542">
        <v>3.6804954401677419</v>
      </c>
      <c r="O100" s="258"/>
      <c r="P100" s="276"/>
      <c r="R100" s="605" t="s">
        <v>847</v>
      </c>
      <c r="S100" s="542">
        <v>3.6804954401677419</v>
      </c>
      <c r="T100" s="258"/>
      <c r="U100" s="276"/>
      <c r="W100" s="605" t="s">
        <v>847</v>
      </c>
      <c r="X100" s="542">
        <v>3.6730491343489282</v>
      </c>
      <c r="Y100" s="544"/>
      <c r="Z100" s="545"/>
      <c r="AB100" s="605" t="s">
        <v>847</v>
      </c>
      <c r="AC100" s="542">
        <v>3.6730491343489282</v>
      </c>
      <c r="AE100" s="276"/>
      <c r="AF100" s="544"/>
      <c r="AG100" s="605" t="s">
        <v>847</v>
      </c>
      <c r="AH100" s="542">
        <v>3.6639157649068865</v>
      </c>
      <c r="AJ100" s="276"/>
      <c r="AL100" s="605" t="s">
        <v>847</v>
      </c>
      <c r="AM100" s="542">
        <v>3.6639157649068865</v>
      </c>
      <c r="AO100" s="276"/>
      <c r="AQ100" s="605" t="s">
        <v>847</v>
      </c>
      <c r="AR100" s="542">
        <v>3.6578650261144499</v>
      </c>
      <c r="AT100" s="276"/>
      <c r="AV100" s="605" t="s">
        <v>847</v>
      </c>
      <c r="AW100" s="542">
        <v>3.6578650261144499</v>
      </c>
      <c r="AY100" s="276"/>
      <c r="BA100" s="605" t="s">
        <v>847</v>
      </c>
      <c r="BB100" s="542">
        <v>3.658195135294489</v>
      </c>
      <c r="BD100" s="276"/>
      <c r="BF100" s="605" t="s">
        <v>847</v>
      </c>
      <c r="BG100" s="542">
        <v>3.658195135294489</v>
      </c>
      <c r="BI100" s="276"/>
      <c r="BL100" s="605" t="s">
        <v>847</v>
      </c>
      <c r="BM100" s="542">
        <v>3.643075955638631</v>
      </c>
      <c r="BO100" s="276"/>
      <c r="BQ100" s="605" t="s">
        <v>847</v>
      </c>
      <c r="BR100" s="542">
        <v>3.643075955638631</v>
      </c>
      <c r="BT100" s="276"/>
      <c r="BV100" s="605" t="s">
        <v>847</v>
      </c>
      <c r="BW100" s="542">
        <v>3.3215754645924078</v>
      </c>
      <c r="BY100" s="276"/>
      <c r="CA100" s="605" t="s">
        <v>847</v>
      </c>
      <c r="CB100" s="542">
        <v>3.3215754645924078</v>
      </c>
      <c r="CD100" s="276"/>
      <c r="CF100" s="605" t="s">
        <v>847</v>
      </c>
      <c r="CG100" s="740">
        <v>3.8945708073692509</v>
      </c>
      <c r="CI100" s="276"/>
      <c r="CK100" s="605" t="s">
        <v>847</v>
      </c>
      <c r="CL100" s="740">
        <v>3.8945708073692509</v>
      </c>
      <c r="CN100" s="276"/>
      <c r="CP100" s="605" t="s">
        <v>847</v>
      </c>
      <c r="CQ100" s="281" cm="1">
        <f t="array" ref="CQ100">INDEX(100:100, $CS$10)*$CS$8 + INDEX(100:100, $CS$11)*(1-$CS$8)</f>
        <v>3.7838099708590898</v>
      </c>
      <c r="CS100" s="276"/>
      <c r="CU100" s="605" t="s">
        <v>847</v>
      </c>
      <c r="CV100" s="740">
        <v>2.4558631112974365</v>
      </c>
      <c r="CX100" s="276"/>
      <c r="CZ100" s="605" t="s">
        <v>847</v>
      </c>
      <c r="DA100" s="740">
        <v>2.4558631112974365</v>
      </c>
      <c r="DC100" s="276"/>
    </row>
    <row r="101" spans="1:107" x14ac:dyDescent="0.15">
      <c r="A101" s="272"/>
      <c r="B101" s="584" t="s">
        <v>848</v>
      </c>
      <c r="C101" s="573">
        <f t="shared" si="2"/>
        <v>3.7046640670027609</v>
      </c>
      <c r="D101" s="564" cm="1">
        <f t="array" ref="D101">IF(INDEX(101:101,$F$2)="","", INDEX(101:101, $F$2))</f>
        <v>3.7046640670027609</v>
      </c>
      <c r="E101" s="1106">
        <f>Lists!O155</f>
        <v>0</v>
      </c>
      <c r="F101" s="678"/>
      <c r="G101" s="590"/>
      <c r="M101" s="605" t="s">
        <v>848</v>
      </c>
      <c r="N101" s="542">
        <v>3.7139048313132266</v>
      </c>
      <c r="O101" s="258"/>
      <c r="P101" s="276"/>
      <c r="R101" s="605" t="s">
        <v>848</v>
      </c>
      <c r="S101" s="542">
        <v>3.7139048313132266</v>
      </c>
      <c r="T101" s="258"/>
      <c r="U101" s="276"/>
      <c r="W101" s="605" t="s">
        <v>848</v>
      </c>
      <c r="X101" s="542">
        <v>3.7046640670027609</v>
      </c>
      <c r="Y101" s="544"/>
      <c r="Z101" s="545"/>
      <c r="AB101" s="605" t="s">
        <v>848</v>
      </c>
      <c r="AC101" s="542">
        <v>3.7046640670027609</v>
      </c>
      <c r="AE101" s="276"/>
      <c r="AF101" s="544"/>
      <c r="AG101" s="605" t="s">
        <v>848</v>
      </c>
      <c r="AH101" s="542">
        <v>3.7054143702008751</v>
      </c>
      <c r="AJ101" s="276"/>
      <c r="AL101" s="605" t="s">
        <v>848</v>
      </c>
      <c r="AM101" s="542">
        <v>3.7054143702008751</v>
      </c>
      <c r="AO101" s="276"/>
      <c r="AQ101" s="605" t="s">
        <v>848</v>
      </c>
      <c r="AR101" s="542">
        <v>3.7132048846307271</v>
      </c>
      <c r="AT101" s="276"/>
      <c r="AV101" s="605" t="s">
        <v>848</v>
      </c>
      <c r="AW101" s="542">
        <v>3.7132048846307271</v>
      </c>
      <c r="AY101" s="276"/>
      <c r="BA101" s="605" t="s">
        <v>848</v>
      </c>
      <c r="BB101" s="542">
        <v>3.7336296216439857</v>
      </c>
      <c r="BD101" s="276"/>
      <c r="BF101" s="605" t="s">
        <v>848</v>
      </c>
      <c r="BG101" s="542">
        <v>3.7336296216439857</v>
      </c>
      <c r="BI101" s="276"/>
      <c r="BL101" s="605" t="s">
        <v>848</v>
      </c>
      <c r="BM101" s="542">
        <v>3.6985132490144874</v>
      </c>
      <c r="BO101" s="276"/>
      <c r="BQ101" s="605" t="s">
        <v>848</v>
      </c>
      <c r="BR101" s="542">
        <v>3.6985132490144874</v>
      </c>
      <c r="BT101" s="276"/>
      <c r="BV101" s="605" t="s">
        <v>848</v>
      </c>
      <c r="BW101" s="542">
        <v>3.3246573377885946</v>
      </c>
      <c r="BY101" s="276"/>
      <c r="CA101" s="605" t="s">
        <v>848</v>
      </c>
      <c r="CB101" s="542">
        <v>3.3246573377885946</v>
      </c>
      <c r="CD101" s="276"/>
      <c r="CF101" s="605" t="s">
        <v>848</v>
      </c>
      <c r="CG101" s="740">
        <v>3.9556693041665034</v>
      </c>
      <c r="CI101" s="276"/>
      <c r="CK101" s="605" t="s">
        <v>848</v>
      </c>
      <c r="CL101" s="740">
        <v>3.9556693041665034</v>
      </c>
      <c r="CN101" s="276"/>
      <c r="CP101" s="605" t="s">
        <v>848</v>
      </c>
      <c r="CQ101" s="281" cm="1">
        <f t="array" ref="CQ101">INDEX(101:101, $CS$10)*$CS$8 + INDEX(101:101, $CS$11)*(1-$CS$8)</f>
        <v>3.8301666855846319</v>
      </c>
      <c r="CS101" s="276"/>
      <c r="CU101" s="605" t="s">
        <v>848</v>
      </c>
      <c r="CV101" s="740">
        <v>2.5125901866218605</v>
      </c>
      <c r="CX101" s="276"/>
      <c r="CZ101" s="605" t="s">
        <v>848</v>
      </c>
      <c r="DA101" s="740">
        <v>2.5125901866218605</v>
      </c>
      <c r="DC101" s="276"/>
    </row>
    <row r="102" spans="1:107" x14ac:dyDescent="0.15">
      <c r="A102" s="272"/>
      <c r="B102" s="584" t="s">
        <v>849</v>
      </c>
      <c r="C102" s="573">
        <f t="shared" si="2"/>
        <v>3.7642462292684384</v>
      </c>
      <c r="D102" s="564" cm="1">
        <f t="array" ref="D102">IF(INDEX(102:102,$F$2)="","", INDEX(102:102, $F$2))</f>
        <v>3.7642462292684384</v>
      </c>
      <c r="E102" s="1106">
        <f>Lists!O156</f>
        <v>0</v>
      </c>
      <c r="F102" s="678"/>
      <c r="G102" s="590"/>
      <c r="M102" s="605" t="s">
        <v>849</v>
      </c>
      <c r="N102" s="542">
        <v>3.7752817165776018</v>
      </c>
      <c r="O102" s="258"/>
      <c r="P102" s="276"/>
      <c r="R102" s="605" t="s">
        <v>849</v>
      </c>
      <c r="S102" s="542">
        <v>3.7752817165776018</v>
      </c>
      <c r="T102" s="258"/>
      <c r="U102" s="276"/>
      <c r="W102" s="605" t="s">
        <v>849</v>
      </c>
      <c r="X102" s="542">
        <v>3.7642462292684384</v>
      </c>
      <c r="Y102" s="544"/>
      <c r="Z102" s="545"/>
      <c r="AB102" s="605" t="s">
        <v>849</v>
      </c>
      <c r="AC102" s="542">
        <v>3.7642462292684384</v>
      </c>
      <c r="AE102" s="276"/>
      <c r="AF102" s="544"/>
      <c r="AG102" s="605" t="s">
        <v>849</v>
      </c>
      <c r="AH102" s="542">
        <v>3.772075800545077</v>
      </c>
      <c r="AJ102" s="276"/>
      <c r="AL102" s="605" t="s">
        <v>849</v>
      </c>
      <c r="AM102" s="542">
        <v>3.772075800545077</v>
      </c>
      <c r="AO102" s="276"/>
      <c r="AQ102" s="605" t="s">
        <v>849</v>
      </c>
      <c r="AR102" s="542">
        <v>3.8094668096082311</v>
      </c>
      <c r="AT102" s="276"/>
      <c r="AV102" s="605" t="s">
        <v>849</v>
      </c>
      <c r="AW102" s="542">
        <v>3.8094668096082311</v>
      </c>
      <c r="AY102" s="276"/>
      <c r="BA102" s="605" t="s">
        <v>849</v>
      </c>
      <c r="BB102" s="542">
        <v>3.8407850631085565</v>
      </c>
      <c r="BD102" s="276"/>
      <c r="BF102" s="605" t="s">
        <v>849</v>
      </c>
      <c r="BG102" s="542">
        <v>3.8407850631085565</v>
      </c>
      <c r="BI102" s="276"/>
      <c r="BL102" s="605" t="s">
        <v>849</v>
      </c>
      <c r="BM102" s="542">
        <v>3.7768064293356525</v>
      </c>
      <c r="BO102" s="276"/>
      <c r="BQ102" s="605" t="s">
        <v>849</v>
      </c>
      <c r="BR102" s="542">
        <v>3.7768064293356525</v>
      </c>
      <c r="BT102" s="276"/>
      <c r="BV102" s="605" t="s">
        <v>849</v>
      </c>
      <c r="BW102" s="542">
        <v>3.3362120423296284</v>
      </c>
      <c r="BY102" s="276"/>
      <c r="CA102" s="605" t="s">
        <v>849</v>
      </c>
      <c r="CB102" s="542">
        <v>3.3362120423296284</v>
      </c>
      <c r="CD102" s="276"/>
      <c r="CF102" s="605" t="s">
        <v>849</v>
      </c>
      <c r="CG102" s="740">
        <v>4.0089053028073316</v>
      </c>
      <c r="CI102" s="276"/>
      <c r="CK102" s="605" t="s">
        <v>849</v>
      </c>
      <c r="CL102" s="740">
        <v>4.0089053028073316</v>
      </c>
      <c r="CN102" s="276"/>
      <c r="CP102" s="605" t="s">
        <v>849</v>
      </c>
      <c r="CQ102" s="281" cm="1">
        <f t="array" ref="CQ102">INDEX(102:102, $CS$10)*$CS$8 + INDEX(102:102, $CS$11)*(1-$CS$8)</f>
        <v>3.8865757660378852</v>
      </c>
      <c r="CS102" s="276"/>
      <c r="CU102" s="605" t="s">
        <v>849</v>
      </c>
      <c r="CV102" s="740">
        <v>2.561868522649577</v>
      </c>
      <c r="CX102" s="276"/>
      <c r="CZ102" s="605" t="s">
        <v>849</v>
      </c>
      <c r="DA102" s="740">
        <v>2.561868522649577</v>
      </c>
      <c r="DC102" s="276"/>
    </row>
    <row r="103" spans="1:107" x14ac:dyDescent="0.15">
      <c r="A103" s="272"/>
      <c r="B103" s="584" t="s">
        <v>850</v>
      </c>
      <c r="C103" s="573">
        <f t="shared" si="2"/>
        <v>3.8869557643111525</v>
      </c>
      <c r="D103" s="564" cm="1">
        <f t="array" ref="D103">IF(INDEX(103:103,$F$2)="","", INDEX(103:103, $F$2))</f>
        <v>3.8869557643111525</v>
      </c>
      <c r="E103" s="1106">
        <f>Lists!O157</f>
        <v>0</v>
      </c>
      <c r="F103" s="678"/>
      <c r="G103" s="590"/>
      <c r="M103" s="605" t="s">
        <v>850</v>
      </c>
      <c r="N103" s="542">
        <v>3.8776099920614202</v>
      </c>
      <c r="O103" s="258"/>
      <c r="P103" s="276"/>
      <c r="R103" s="605" t="s">
        <v>850</v>
      </c>
      <c r="S103" s="542">
        <v>3.8776099920614202</v>
      </c>
      <c r="T103" s="258"/>
      <c r="U103" s="276"/>
      <c r="W103" s="605" t="s">
        <v>850</v>
      </c>
      <c r="X103" s="542">
        <v>3.8869557643111525</v>
      </c>
      <c r="Y103" s="544"/>
      <c r="Z103" s="545"/>
      <c r="AB103" s="605" t="s">
        <v>850</v>
      </c>
      <c r="AC103" s="542">
        <v>3.8869557643111525</v>
      </c>
      <c r="AE103" s="276"/>
      <c r="AF103" s="544"/>
      <c r="AG103" s="605" t="s">
        <v>850</v>
      </c>
      <c r="AH103" s="542">
        <v>3.8801764452196483</v>
      </c>
      <c r="AJ103" s="276"/>
      <c r="AL103" s="605" t="s">
        <v>850</v>
      </c>
      <c r="AM103" s="542">
        <v>3.8801764452196483</v>
      </c>
      <c r="AO103" s="276"/>
      <c r="AQ103" s="605" t="s">
        <v>850</v>
      </c>
      <c r="AR103" s="542">
        <v>3.9163828826367406</v>
      </c>
      <c r="AT103" s="276"/>
      <c r="AV103" s="605" t="s">
        <v>850</v>
      </c>
      <c r="AW103" s="542">
        <v>3.9163828826367406</v>
      </c>
      <c r="AY103" s="276"/>
      <c r="BA103" s="605" t="s">
        <v>850</v>
      </c>
      <c r="BB103" s="542">
        <v>3.9375350834061189</v>
      </c>
      <c r="BD103" s="276"/>
      <c r="BF103" s="605" t="s">
        <v>850</v>
      </c>
      <c r="BG103" s="542">
        <v>3.9375350834061189</v>
      </c>
      <c r="BI103" s="276"/>
      <c r="BL103" s="605" t="s">
        <v>850</v>
      </c>
      <c r="BM103" s="542">
        <v>3.8838129909231052</v>
      </c>
      <c r="BO103" s="276"/>
      <c r="BQ103" s="605" t="s">
        <v>850</v>
      </c>
      <c r="BR103" s="542">
        <v>3.8838129909231052</v>
      </c>
      <c r="BT103" s="276"/>
      <c r="BV103" s="605" t="s">
        <v>850</v>
      </c>
      <c r="BW103" s="542">
        <v>3.3538708920960913</v>
      </c>
      <c r="BY103" s="276"/>
      <c r="CA103" s="605" t="s">
        <v>850</v>
      </c>
      <c r="CB103" s="542">
        <v>3.3538708920960913</v>
      </c>
      <c r="CD103" s="276"/>
      <c r="CF103" s="605" t="s">
        <v>850</v>
      </c>
      <c r="CG103" s="740">
        <v>4.035381727172946</v>
      </c>
      <c r="CI103" s="276"/>
      <c r="CK103" s="605" t="s">
        <v>850</v>
      </c>
      <c r="CL103" s="740">
        <v>4.035381727172946</v>
      </c>
      <c r="CN103" s="276"/>
      <c r="CP103" s="605" t="s">
        <v>850</v>
      </c>
      <c r="CQ103" s="281" cm="1">
        <f t="array" ref="CQ103">INDEX(103:103, $CS$10)*$CS$8 + INDEX(103:103, $CS$11)*(1-$CS$8)</f>
        <v>3.9611687457420492</v>
      </c>
      <c r="CS103" s="276"/>
      <c r="CU103" s="605" t="s">
        <v>850</v>
      </c>
      <c r="CV103" s="740">
        <v>2.5754694409184609</v>
      </c>
      <c r="CX103" s="276"/>
      <c r="CZ103" s="605" t="s">
        <v>850</v>
      </c>
      <c r="DA103" s="740">
        <v>2.5754694409184609</v>
      </c>
      <c r="DC103" s="276"/>
    </row>
    <row r="104" spans="1:107" x14ac:dyDescent="0.15">
      <c r="A104" s="272"/>
      <c r="B104" s="584" t="s">
        <v>851</v>
      </c>
      <c r="C104" s="573">
        <f t="shared" si="2"/>
        <v>4.004894167867513</v>
      </c>
      <c r="D104" s="564" cm="1">
        <f t="array" ref="D104">IF(INDEX(104:104,$F$2)="","", INDEX(104:104, $F$2))</f>
        <v>4.004894167867513</v>
      </c>
      <c r="E104" s="1106">
        <f>Lists!O158</f>
        <v>0</v>
      </c>
      <c r="F104" s="678"/>
      <c r="G104" s="590"/>
      <c r="M104" s="605" t="s">
        <v>851</v>
      </c>
      <c r="N104" s="542">
        <v>3.9951769742237824</v>
      </c>
      <c r="O104" s="258"/>
      <c r="P104" s="276"/>
      <c r="R104" s="605" t="s">
        <v>851</v>
      </c>
      <c r="S104" s="542">
        <v>3.9951769742237824</v>
      </c>
      <c r="T104" s="258"/>
      <c r="U104" s="276"/>
      <c r="W104" s="605" t="s">
        <v>851</v>
      </c>
      <c r="X104" s="542">
        <v>4.004894167867513</v>
      </c>
      <c r="Y104" s="544"/>
      <c r="Z104" s="545"/>
      <c r="AB104" s="605" t="s">
        <v>851</v>
      </c>
      <c r="AC104" s="542">
        <v>4.004894167867513</v>
      </c>
      <c r="AE104" s="276"/>
      <c r="AF104" s="544"/>
      <c r="AG104" s="605" t="s">
        <v>851</v>
      </c>
      <c r="AH104" s="542">
        <v>3.9930344326192935</v>
      </c>
      <c r="AJ104" s="276"/>
      <c r="AL104" s="605" t="s">
        <v>851</v>
      </c>
      <c r="AM104" s="542">
        <v>3.9930344326192935</v>
      </c>
      <c r="AO104" s="276"/>
      <c r="AQ104" s="605" t="s">
        <v>851</v>
      </c>
      <c r="AR104" s="542">
        <v>4.0317193684754704</v>
      </c>
      <c r="AT104" s="276"/>
      <c r="AV104" s="605" t="s">
        <v>851</v>
      </c>
      <c r="AW104" s="542">
        <v>4.0317193684754704</v>
      </c>
      <c r="AY104" s="276"/>
      <c r="BA104" s="605" t="s">
        <v>851</v>
      </c>
      <c r="BB104" s="542">
        <v>4.0566049727637274</v>
      </c>
      <c r="BD104" s="276"/>
      <c r="BF104" s="605" t="s">
        <v>851</v>
      </c>
      <c r="BG104" s="542">
        <v>4.0566049727637274</v>
      </c>
      <c r="BI104" s="276"/>
      <c r="BL104" s="605" t="s">
        <v>851</v>
      </c>
      <c r="BM104" s="542">
        <v>3.9732134865351125</v>
      </c>
      <c r="BO104" s="276"/>
      <c r="BQ104" s="605" t="s">
        <v>851</v>
      </c>
      <c r="BR104" s="542">
        <v>3.9732134865351125</v>
      </c>
      <c r="BT104" s="276"/>
      <c r="BV104" s="605" t="s">
        <v>851</v>
      </c>
      <c r="BW104" s="542">
        <v>3.358931291484895</v>
      </c>
      <c r="BY104" s="276"/>
      <c r="CA104" s="605" t="s">
        <v>851</v>
      </c>
      <c r="CB104" s="542">
        <v>3.358931291484895</v>
      </c>
      <c r="CD104" s="276"/>
      <c r="CF104" s="605" t="s">
        <v>851</v>
      </c>
      <c r="CG104" s="740">
        <v>4.043563245329139</v>
      </c>
      <c r="CI104" s="276"/>
      <c r="CK104" s="605" t="s">
        <v>851</v>
      </c>
      <c r="CL104" s="740">
        <v>4.043563245329139</v>
      </c>
      <c r="CN104" s="276"/>
      <c r="CP104" s="605" t="s">
        <v>851</v>
      </c>
      <c r="CQ104" s="281" cm="1">
        <f t="array" ref="CQ104">INDEX(104:104, $CS$10)*$CS$8 + INDEX(104:104, $CS$11)*(1-$CS$8)</f>
        <v>4.0242287065983255</v>
      </c>
      <c r="CS104" s="276"/>
      <c r="CU104" s="605" t="s">
        <v>851</v>
      </c>
      <c r="CV104" s="740">
        <v>2.5845777119066504</v>
      </c>
      <c r="CX104" s="276"/>
      <c r="CZ104" s="605" t="s">
        <v>851</v>
      </c>
      <c r="DA104" s="740">
        <v>2.5845777119066504</v>
      </c>
      <c r="DC104" s="276"/>
    </row>
    <row r="105" spans="1:107" x14ac:dyDescent="0.15">
      <c r="A105" s="272"/>
      <c r="B105" s="584" t="s">
        <v>852</v>
      </c>
      <c r="C105" s="573">
        <f t="shared" si="2"/>
        <v>4.131055418411413</v>
      </c>
      <c r="D105" s="564" cm="1">
        <f t="array" ref="D105">IF(INDEX(105:105,$F$2)="","", INDEX(105:105, $F$2))</f>
        <v>4.131055418411413</v>
      </c>
      <c r="E105" s="1106">
        <f>Lists!O159</f>
        <v>0</v>
      </c>
      <c r="F105" s="678"/>
      <c r="G105" s="590"/>
      <c r="M105" s="605" t="s">
        <v>852</v>
      </c>
      <c r="N105" s="542">
        <v>4.116964932520542</v>
      </c>
      <c r="O105" s="258"/>
      <c r="P105" s="276"/>
      <c r="R105" s="605" t="s">
        <v>852</v>
      </c>
      <c r="S105" s="542">
        <v>4.116964932520542</v>
      </c>
      <c r="T105" s="258"/>
      <c r="U105" s="276"/>
      <c r="W105" s="605" t="s">
        <v>852</v>
      </c>
      <c r="X105" s="542">
        <v>4.131055418411413</v>
      </c>
      <c r="Y105" s="544"/>
      <c r="Z105" s="545"/>
      <c r="AB105" s="605" t="s">
        <v>852</v>
      </c>
      <c r="AC105" s="542">
        <v>4.131055418411413</v>
      </c>
      <c r="AE105" s="276"/>
      <c r="AF105" s="544"/>
      <c r="AG105" s="605" t="s">
        <v>852</v>
      </c>
      <c r="AH105" s="542">
        <v>4.1167264370134937</v>
      </c>
      <c r="AJ105" s="276"/>
      <c r="AL105" s="605" t="s">
        <v>852</v>
      </c>
      <c r="AM105" s="542">
        <v>4.1167264370134937</v>
      </c>
      <c r="AO105" s="276"/>
      <c r="AQ105" s="605" t="s">
        <v>852</v>
      </c>
      <c r="AR105" s="542">
        <v>4.1310590522056065</v>
      </c>
      <c r="AT105" s="276"/>
      <c r="AV105" s="605" t="s">
        <v>852</v>
      </c>
      <c r="AW105" s="542">
        <v>4.1310590522056065</v>
      </c>
      <c r="AY105" s="276"/>
      <c r="BA105" s="605" t="s">
        <v>852</v>
      </c>
      <c r="BB105" s="542">
        <v>4.1104564558353758</v>
      </c>
      <c r="BD105" s="276"/>
      <c r="BF105" s="605" t="s">
        <v>852</v>
      </c>
      <c r="BG105" s="542">
        <v>4.1104564558353758</v>
      </c>
      <c r="BI105" s="276"/>
      <c r="BL105" s="605" t="s">
        <v>852</v>
      </c>
      <c r="BM105" s="542">
        <v>4.08646165072944</v>
      </c>
      <c r="BO105" s="276"/>
      <c r="BQ105" s="605" t="s">
        <v>852</v>
      </c>
      <c r="BR105" s="542">
        <v>4.08646165072944</v>
      </c>
      <c r="BT105" s="276"/>
      <c r="BV105" s="605" t="s">
        <v>852</v>
      </c>
      <c r="BW105" s="542">
        <v>3.363465019989734</v>
      </c>
      <c r="BY105" s="276"/>
      <c r="CA105" s="605" t="s">
        <v>852</v>
      </c>
      <c r="CB105" s="542">
        <v>3.363465019989734</v>
      </c>
      <c r="CD105" s="276"/>
      <c r="CF105" s="605" t="s">
        <v>852</v>
      </c>
      <c r="CG105" s="740">
        <v>4.0543731028406729</v>
      </c>
      <c r="CI105" s="276"/>
      <c r="CK105" s="605" t="s">
        <v>852</v>
      </c>
      <c r="CL105" s="740">
        <v>4.0543731028406729</v>
      </c>
      <c r="CN105" s="276"/>
      <c r="CP105" s="605" t="s">
        <v>852</v>
      </c>
      <c r="CQ105" s="281" cm="1">
        <f t="array" ref="CQ105">INDEX(105:105, $CS$10)*$CS$8 + INDEX(105:105, $CS$11)*(1-$CS$8)</f>
        <v>4.0927142606260425</v>
      </c>
      <c r="CS105" s="276"/>
      <c r="CU105" s="605" t="s">
        <v>852</v>
      </c>
      <c r="CV105" s="740">
        <v>2.6479921759171687</v>
      </c>
      <c r="CX105" s="276"/>
      <c r="CZ105" s="605" t="s">
        <v>852</v>
      </c>
      <c r="DA105" s="740">
        <v>2.6479921759171687</v>
      </c>
      <c r="DC105" s="276"/>
    </row>
    <row r="106" spans="1:107" x14ac:dyDescent="0.15">
      <c r="A106" s="272"/>
      <c r="B106" s="584" t="s">
        <v>853</v>
      </c>
      <c r="C106" s="573">
        <f t="shared" si="2"/>
        <v>4.2499999999999982</v>
      </c>
      <c r="D106" s="564" cm="1">
        <f t="array" ref="D106">IF(INDEX(106:106,$F$2)="","", INDEX(106:106, $F$2))</f>
        <v>4.2499999999999982</v>
      </c>
      <c r="E106" s="1106">
        <f>Lists!O160</f>
        <v>0</v>
      </c>
      <c r="F106" s="678"/>
      <c r="G106" s="590"/>
      <c r="M106" s="605" t="s">
        <v>853</v>
      </c>
      <c r="N106" s="542">
        <v>4.2499999635117502</v>
      </c>
      <c r="O106" s="258"/>
      <c r="P106" s="276"/>
      <c r="R106" s="605" t="s">
        <v>853</v>
      </c>
      <c r="S106" s="542">
        <v>4.2499999635117502</v>
      </c>
      <c r="T106" s="258"/>
      <c r="U106" s="276"/>
      <c r="W106" s="605" t="s">
        <v>853</v>
      </c>
      <c r="X106" s="542">
        <v>4.2499999999999982</v>
      </c>
      <c r="Y106" s="544"/>
      <c r="Z106" s="545"/>
      <c r="AB106" s="605" t="s">
        <v>853</v>
      </c>
      <c r="AC106" s="542">
        <v>4.2499999999999982</v>
      </c>
      <c r="AE106" s="276"/>
      <c r="AF106" s="544"/>
      <c r="AG106" s="605" t="s">
        <v>853</v>
      </c>
      <c r="AH106" s="542">
        <v>4.2499999999999982</v>
      </c>
      <c r="AJ106" s="276"/>
      <c r="AL106" s="605" t="s">
        <v>853</v>
      </c>
      <c r="AM106" s="542">
        <v>4.2499999999999982</v>
      </c>
      <c r="AO106" s="276"/>
      <c r="AQ106" s="605" t="s">
        <v>853</v>
      </c>
      <c r="AR106" s="542">
        <v>4.2499999999999991</v>
      </c>
      <c r="AT106" s="276"/>
      <c r="AV106" s="605" t="s">
        <v>853</v>
      </c>
      <c r="AW106" s="542">
        <v>4.2499999999999991</v>
      </c>
      <c r="AY106" s="276"/>
      <c r="BA106" s="605" t="s">
        <v>853</v>
      </c>
      <c r="BB106" s="542">
        <v>4.2499999999999982</v>
      </c>
      <c r="BD106" s="276"/>
      <c r="BF106" s="605" t="s">
        <v>853</v>
      </c>
      <c r="BG106" s="542">
        <v>4.2499999999999982</v>
      </c>
      <c r="BI106" s="276"/>
      <c r="BL106" s="605" t="s">
        <v>853</v>
      </c>
      <c r="BM106" s="542">
        <v>4.2499999999999964</v>
      </c>
      <c r="BO106" s="276"/>
      <c r="BQ106" s="605" t="s">
        <v>853</v>
      </c>
      <c r="BR106" s="542">
        <v>4.2499999999999964</v>
      </c>
      <c r="BT106" s="276"/>
      <c r="BV106" s="605" t="s">
        <v>853</v>
      </c>
      <c r="BW106" s="542">
        <v>3.8000000000000043</v>
      </c>
      <c r="BY106" s="276"/>
      <c r="CA106" s="605" t="s">
        <v>853</v>
      </c>
      <c r="CB106" s="542">
        <v>3.8000000000000043</v>
      </c>
      <c r="CD106" s="276"/>
      <c r="CF106" s="605" t="s">
        <v>853</v>
      </c>
      <c r="CG106" s="740">
        <v>4.2500000000000036</v>
      </c>
      <c r="CI106" s="276"/>
      <c r="CK106" s="605" t="s">
        <v>853</v>
      </c>
      <c r="CL106" s="740">
        <v>4.2500000000000036</v>
      </c>
      <c r="CN106" s="276"/>
      <c r="CP106" s="605" t="s">
        <v>853</v>
      </c>
      <c r="CQ106" s="281" cm="1">
        <f t="array" ref="CQ106">INDEX(106:106, $CS$10)*$CS$8 + INDEX(106:106, $CS$11)*(1-$CS$8)</f>
        <v>4.2500000000000009</v>
      </c>
      <c r="CS106" s="276"/>
      <c r="CU106" s="605" t="s">
        <v>853</v>
      </c>
      <c r="CV106" s="740">
        <v>3.0000000000000044</v>
      </c>
      <c r="CX106" s="276"/>
      <c r="CZ106" s="605" t="s">
        <v>853</v>
      </c>
      <c r="DA106" s="740">
        <v>3.0000000000000044</v>
      </c>
      <c r="DC106" s="276"/>
    </row>
    <row r="107" spans="1:107" x14ac:dyDescent="0.15">
      <c r="A107" s="272"/>
      <c r="B107" s="584"/>
      <c r="C107" s="573"/>
      <c r="D107" s="568"/>
      <c r="E107" s="568"/>
      <c r="F107" s="565"/>
      <c r="G107" s="590"/>
      <c r="M107" s="605"/>
      <c r="N107" s="258"/>
      <c r="O107" s="258"/>
      <c r="P107" s="276"/>
      <c r="R107" s="605"/>
      <c r="S107" s="258"/>
      <c r="T107" s="258"/>
      <c r="U107" s="276"/>
      <c r="W107" s="605"/>
      <c r="X107" s="542"/>
      <c r="Y107" s="544"/>
      <c r="Z107" s="545"/>
      <c r="AB107" s="605"/>
      <c r="AC107" s="542"/>
      <c r="AE107" s="276"/>
      <c r="AF107" s="544"/>
      <c r="AG107" s="605"/>
      <c r="AJ107" s="276"/>
      <c r="AL107" s="605"/>
      <c r="AO107" s="276"/>
      <c r="AQ107" s="605"/>
      <c r="AT107" s="276"/>
      <c r="AV107" s="605"/>
      <c r="AY107" s="276"/>
      <c r="BA107" s="605"/>
      <c r="BD107" s="276"/>
      <c r="BF107" s="605"/>
      <c r="BI107" s="276"/>
      <c r="BL107" s="605"/>
      <c r="BO107" s="276"/>
      <c r="BQ107" s="605"/>
      <c r="BT107" s="276"/>
      <c r="BV107" s="605"/>
      <c r="BY107" s="276"/>
      <c r="CA107" s="605"/>
      <c r="CD107" s="276"/>
      <c r="CF107" s="605"/>
      <c r="CI107" s="276"/>
      <c r="CK107" s="605"/>
      <c r="CN107" s="276"/>
      <c r="CP107" s="605"/>
      <c r="CS107" s="276"/>
      <c r="CU107" s="605"/>
      <c r="CX107" s="276"/>
      <c r="CZ107" s="605"/>
      <c r="DC107" s="276"/>
    </row>
    <row r="108" spans="1:107" ht="16" x14ac:dyDescent="0.2">
      <c r="A108" s="272"/>
      <c r="B108" s="475" t="s">
        <v>854</v>
      </c>
      <c r="C108" s="573" t="str">
        <f>IF(AND(D108="",F108=""),"",IF(F108="",D108,F108))</f>
        <v/>
      </c>
      <c r="D108" s="568" t="str" cm="1">
        <f t="array" ref="D108">IF(INDEX(108:108,$F$2)="","", INDEX(108:108, $F$2))</f>
        <v/>
      </c>
      <c r="E108" s="568"/>
      <c r="F108" s="565"/>
      <c r="G108" s="590"/>
      <c r="M108" s="1026" t="s">
        <v>855</v>
      </c>
      <c r="N108" s="258"/>
      <c r="O108" s="258"/>
      <c r="P108" s="276"/>
      <c r="R108" s="1026" t="s">
        <v>855</v>
      </c>
      <c r="S108" s="258"/>
      <c r="T108" s="258"/>
      <c r="U108" s="276"/>
      <c r="W108" s="1026" t="s">
        <v>855</v>
      </c>
      <c r="Z108" s="276"/>
      <c r="AB108" s="1026" t="s">
        <v>855</v>
      </c>
      <c r="AE108" s="276"/>
      <c r="AG108" s="1026" t="s">
        <v>855</v>
      </c>
      <c r="AJ108" s="276"/>
      <c r="AL108" s="1026" t="s">
        <v>855</v>
      </c>
      <c r="AO108" s="276"/>
      <c r="AQ108" s="1026" t="s">
        <v>855</v>
      </c>
      <c r="AT108" s="276"/>
      <c r="AV108" s="1026" t="s">
        <v>855</v>
      </c>
      <c r="AY108" s="276"/>
      <c r="BA108" s="1026" t="s">
        <v>855</v>
      </c>
      <c r="BD108" s="276"/>
      <c r="BF108" s="1026" t="s">
        <v>855</v>
      </c>
      <c r="BI108" s="276"/>
      <c r="BL108" s="1026" t="s">
        <v>855</v>
      </c>
      <c r="BO108" s="276"/>
      <c r="BQ108" s="1026" t="s">
        <v>855</v>
      </c>
      <c r="BT108" s="276"/>
      <c r="BV108" s="1026" t="s">
        <v>855</v>
      </c>
      <c r="BY108" s="276"/>
      <c r="CA108" s="1026" t="s">
        <v>855</v>
      </c>
      <c r="CD108" s="276"/>
      <c r="CF108" s="1026" t="s">
        <v>855</v>
      </c>
      <c r="CI108" s="276"/>
      <c r="CK108" s="1026" t="s">
        <v>855</v>
      </c>
      <c r="CN108" s="276"/>
      <c r="CP108" s="1026" t="s">
        <v>855</v>
      </c>
      <c r="CS108" s="276"/>
      <c r="CU108" s="1026" t="s">
        <v>855</v>
      </c>
      <c r="CX108" s="276"/>
      <c r="CZ108" s="1026" t="s">
        <v>855</v>
      </c>
      <c r="DC108" s="276"/>
    </row>
    <row r="109" spans="1:107" x14ac:dyDescent="0.15">
      <c r="A109" s="272"/>
      <c r="B109" s="584" t="s">
        <v>856</v>
      </c>
      <c r="C109" s="573">
        <f>IF(AND(D109="",F109=""),"",IF(F109="",D109+E109,F109))</f>
        <v>23.043772878285832</v>
      </c>
      <c r="D109" s="568" cm="1">
        <f t="array" ref="D109">IF(INDEX(109:109,$F$2)="","", INDEX(109:109, $F$2))</f>
        <v>23.043772878285832</v>
      </c>
      <c r="E109" s="1107">
        <f>Lists!O163</f>
        <v>0</v>
      </c>
      <c r="F109" s="565"/>
      <c r="G109" s="590"/>
      <c r="M109" s="605" t="s">
        <v>857</v>
      </c>
      <c r="N109" s="281">
        <f>N110*1.7</f>
        <v>22.910072464244401</v>
      </c>
      <c r="O109" s="258"/>
      <c r="P109" s="276"/>
      <c r="R109" s="605" t="s">
        <v>857</v>
      </c>
      <c r="S109" s="281">
        <f>S110*1.7</f>
        <v>30.150681652023845</v>
      </c>
      <c r="T109" s="258"/>
      <c r="U109" s="276"/>
      <c r="W109" s="605" t="s">
        <v>857</v>
      </c>
      <c r="X109" s="281">
        <f>X110*1.7</f>
        <v>23.043772878285832</v>
      </c>
      <c r="Z109" s="276"/>
      <c r="AB109" s="605" t="s">
        <v>857</v>
      </c>
      <c r="AC109" s="281">
        <f>AC110*1.7</f>
        <v>30.303482125214057</v>
      </c>
      <c r="AE109" s="276"/>
      <c r="AG109" s="605" t="s">
        <v>857</v>
      </c>
      <c r="AH109" s="281">
        <f>AH110*1.7</f>
        <v>23.075928674067953</v>
      </c>
      <c r="AJ109" s="276"/>
      <c r="AL109" s="605" t="s">
        <v>857</v>
      </c>
      <c r="AM109" s="281">
        <f>AM110*1.7</f>
        <v>30.340231606107903</v>
      </c>
      <c r="AO109" s="276"/>
      <c r="AQ109" s="605" t="s">
        <v>857</v>
      </c>
      <c r="AR109" s="281">
        <f>AR110*1.7</f>
        <v>23.26801724360849</v>
      </c>
      <c r="AT109" s="276"/>
      <c r="AV109" s="605" t="s">
        <v>857</v>
      </c>
      <c r="AW109" s="281">
        <f>AW110*1.7</f>
        <v>30.559761399868517</v>
      </c>
      <c r="AY109" s="276"/>
      <c r="BA109" s="605" t="s">
        <v>857</v>
      </c>
      <c r="BB109" s="281">
        <f>BB110*1.7</f>
        <v>23.406794888562882</v>
      </c>
      <c r="BD109" s="276"/>
      <c r="BF109" s="605" t="s">
        <v>857</v>
      </c>
      <c r="BG109" s="281">
        <f>BG110*1.7</f>
        <v>30.718364422673538</v>
      </c>
      <c r="BI109" s="276"/>
      <c r="BL109" s="605" t="s">
        <v>857</v>
      </c>
      <c r="BM109" s="281">
        <f>BM110*1.7</f>
        <v>23.217645289604587</v>
      </c>
      <c r="BO109" s="276"/>
      <c r="BQ109" s="605" t="s">
        <v>857</v>
      </c>
      <c r="BR109" s="281">
        <f>BR110*1.7</f>
        <v>30.502193452435481</v>
      </c>
      <c r="BT109" s="276"/>
      <c r="BV109" s="605" t="s">
        <v>857</v>
      </c>
      <c r="BW109" s="281">
        <f>BW110*1.7</f>
        <v>21.583499167177493</v>
      </c>
      <c r="BY109" s="276"/>
      <c r="CA109" s="605" t="s">
        <v>857</v>
      </c>
      <c r="CB109" s="281">
        <f>CB110*1.7</f>
        <v>28.634597883947375</v>
      </c>
      <c r="CD109" s="276"/>
      <c r="CF109" s="605" t="s">
        <v>857</v>
      </c>
      <c r="CG109" s="281">
        <f>CG110*1.7</f>
        <v>22.373474669400863</v>
      </c>
      <c r="CI109" s="276"/>
      <c r="CK109" s="605" t="s">
        <v>857</v>
      </c>
      <c r="CL109" s="281">
        <f>CL110*1.7</f>
        <v>29.537427029345519</v>
      </c>
      <c r="CN109" s="276"/>
      <c r="CP109" s="605" t="s">
        <v>857</v>
      </c>
      <c r="CQ109" s="281" cm="1">
        <f t="array" ref="CQ109">1/($CS$8/INDEX(109:109, $CS$10) + (1-$CS$8)/INDEX(109:109, $CS$11))</f>
        <v>29.915551239260726</v>
      </c>
      <c r="CS109" s="276"/>
      <c r="CU109" s="605" t="s">
        <v>857</v>
      </c>
      <c r="CV109" s="281">
        <f>CV110*1.7</f>
        <v>17.353251679366391</v>
      </c>
      <c r="CX109" s="276"/>
      <c r="CZ109" s="605" t="s">
        <v>857</v>
      </c>
      <c r="DA109" s="281">
        <f>DA110*1.7</f>
        <v>25.631652041539532</v>
      </c>
      <c r="DC109" s="276"/>
    </row>
    <row r="110" spans="1:107" x14ac:dyDescent="0.15">
      <c r="A110" s="272"/>
      <c r="B110" s="584" t="s">
        <v>858</v>
      </c>
      <c r="C110" s="573">
        <f t="shared" ref="C110:C119" si="3">IF(AND(D110="",F110=""),"",IF(F110="",D110+E110,F110))</f>
        <v>13.555160516638725</v>
      </c>
      <c r="D110" s="568" cm="1">
        <f t="array" ref="D110">IF(INDEX(110:110,$F$2)="","", INDEX(110:110, $F$2))</f>
        <v>13.555160516638725</v>
      </c>
      <c r="E110" s="1107">
        <f>Lists!O164</f>
        <v>0</v>
      </c>
      <c r="F110" s="565"/>
      <c r="G110" s="590"/>
      <c r="M110" s="605" t="s">
        <v>859</v>
      </c>
      <c r="N110" s="281">
        <f>N111*1.5</f>
        <v>13.476513214261413</v>
      </c>
      <c r="O110" s="258"/>
      <c r="P110" s="276"/>
      <c r="R110" s="605" t="s">
        <v>859</v>
      </c>
      <c r="S110" s="281">
        <f>S111*1.5</f>
        <v>17.735695089425793</v>
      </c>
      <c r="T110" s="258"/>
      <c r="U110" s="276"/>
      <c r="W110" s="605" t="s">
        <v>859</v>
      </c>
      <c r="X110" s="281">
        <f>X111*1.5</f>
        <v>13.555160516638725</v>
      </c>
      <c r="Z110" s="276"/>
      <c r="AB110" s="605" t="s">
        <v>859</v>
      </c>
      <c r="AC110" s="281">
        <f>AC111*1.5</f>
        <v>17.825577720714151</v>
      </c>
      <c r="AE110" s="276"/>
      <c r="AG110" s="605" t="s">
        <v>859</v>
      </c>
      <c r="AH110" s="281">
        <f>AH111*1.5</f>
        <v>13.574075690628208</v>
      </c>
      <c r="AJ110" s="276"/>
      <c r="AL110" s="605" t="s">
        <v>859</v>
      </c>
      <c r="AM110" s="281">
        <f>AM111*1.5</f>
        <v>17.847195062416414</v>
      </c>
      <c r="AO110" s="276"/>
      <c r="AQ110" s="605" t="s">
        <v>859</v>
      </c>
      <c r="AR110" s="281">
        <f>AR111*1.5</f>
        <v>13.687068966828523</v>
      </c>
      <c r="AT110" s="276"/>
      <c r="AV110" s="605" t="s">
        <v>859</v>
      </c>
      <c r="AW110" s="281">
        <f>AW111*1.5</f>
        <v>17.976330235216775</v>
      </c>
      <c r="AY110" s="276"/>
      <c r="BA110" s="605" t="s">
        <v>859</v>
      </c>
      <c r="BB110" s="281">
        <f>BB111*1.5</f>
        <v>13.768702875625225</v>
      </c>
      <c r="BD110" s="276"/>
      <c r="BF110" s="605" t="s">
        <v>859</v>
      </c>
      <c r="BG110" s="281">
        <f>BG111*1.5</f>
        <v>18.069626130984435</v>
      </c>
      <c r="BI110" s="276"/>
      <c r="BL110" s="605" t="s">
        <v>859</v>
      </c>
      <c r="BM110" s="281">
        <f>BM111*1.5</f>
        <v>13.657438405649756</v>
      </c>
      <c r="BO110" s="276"/>
      <c r="BQ110" s="605" t="s">
        <v>859</v>
      </c>
      <c r="BR110" s="281">
        <f>BR111*1.5</f>
        <v>17.942466736726754</v>
      </c>
      <c r="BT110" s="276"/>
      <c r="BV110" s="605" t="s">
        <v>859</v>
      </c>
      <c r="BW110" s="281">
        <f>BW111*1.5</f>
        <v>12.696175980692644</v>
      </c>
      <c r="BY110" s="276"/>
      <c r="CA110" s="605" t="s">
        <v>859</v>
      </c>
      <c r="CB110" s="281">
        <f>CB111*1.5</f>
        <v>16.843881108204339</v>
      </c>
      <c r="CD110" s="276"/>
      <c r="CF110" s="605" t="s">
        <v>859</v>
      </c>
      <c r="CG110" s="281">
        <f>CG111*1.5</f>
        <v>13.160867452588743</v>
      </c>
      <c r="CI110" s="276"/>
      <c r="CK110" s="605" t="s">
        <v>859</v>
      </c>
      <c r="CL110" s="281">
        <f>CL111*1.5</f>
        <v>17.3749570760856</v>
      </c>
      <c r="CN110" s="276"/>
      <c r="CP110" s="605" t="s">
        <v>859</v>
      </c>
      <c r="CQ110" s="281" cm="1">
        <f t="array" ref="CQ110">1/($CS$8/INDEX(110:110, $CS$10) + (1-$CS$8)/INDEX(110:110, $CS$11))</f>
        <v>17.597383081918071</v>
      </c>
      <c r="CS110" s="276"/>
      <c r="CU110" s="605" t="s">
        <v>859</v>
      </c>
      <c r="CV110" s="281">
        <f>CV111*1.5</f>
        <v>10.207795105509643</v>
      </c>
      <c r="CX110" s="276"/>
      <c r="CZ110" s="605" t="s">
        <v>859</v>
      </c>
      <c r="DA110" s="281">
        <f>DA111*1.5</f>
        <v>15.077442377376196</v>
      </c>
      <c r="DC110" s="276"/>
    </row>
    <row r="111" spans="1:107" x14ac:dyDescent="0.15">
      <c r="A111" s="272"/>
      <c r="B111" s="584" t="s">
        <v>860</v>
      </c>
      <c r="C111" s="573">
        <f t="shared" si="3"/>
        <v>9.0367736777591503</v>
      </c>
      <c r="D111" s="568" cm="1">
        <f t="array" ref="D111">IF(INDEX(111:111,$F$2)="","", INDEX(111:111, $F$2))</f>
        <v>9.0367736777591503</v>
      </c>
      <c r="E111" s="1107">
        <f>Lists!O165</f>
        <v>0</v>
      </c>
      <c r="F111" s="565"/>
      <c r="G111" s="590"/>
      <c r="M111" s="605" t="s">
        <v>861</v>
      </c>
      <c r="N111" s="543">
        <v>8.9843421428409425</v>
      </c>
      <c r="O111" s="258"/>
      <c r="P111" s="276"/>
      <c r="R111" s="605" t="s">
        <v>861</v>
      </c>
      <c r="S111" s="543">
        <v>11.823796726283861</v>
      </c>
      <c r="T111" s="258"/>
      <c r="U111" s="276"/>
      <c r="W111" s="605" t="s">
        <v>861</v>
      </c>
      <c r="X111" s="543">
        <v>9.0367736777591503</v>
      </c>
      <c r="Z111" s="276"/>
      <c r="AB111" s="605" t="s">
        <v>861</v>
      </c>
      <c r="AC111" s="543">
        <v>11.8837184804761</v>
      </c>
      <c r="AE111" s="276"/>
      <c r="AG111" s="605" t="s">
        <v>861</v>
      </c>
      <c r="AH111" s="543">
        <v>9.0493837937521384</v>
      </c>
      <c r="AJ111" s="276"/>
      <c r="AL111" s="605" t="s">
        <v>861</v>
      </c>
      <c r="AM111" s="543">
        <v>11.898130041610942</v>
      </c>
      <c r="AO111" s="276"/>
      <c r="AQ111" s="605" t="s">
        <v>861</v>
      </c>
      <c r="AR111" s="543">
        <v>9.1247126445523481</v>
      </c>
      <c r="AT111" s="276"/>
      <c r="AV111" s="605" t="s">
        <v>861</v>
      </c>
      <c r="AW111" s="543">
        <v>11.984220156811183</v>
      </c>
      <c r="AY111" s="276"/>
      <c r="BA111" s="605" t="s">
        <v>861</v>
      </c>
      <c r="BB111" s="543">
        <v>9.1791352504168167</v>
      </c>
      <c r="BD111" s="276"/>
      <c r="BF111" s="605" t="s">
        <v>861</v>
      </c>
      <c r="BG111" s="543">
        <v>12.04641742065629</v>
      </c>
      <c r="BI111" s="276"/>
      <c r="BL111" s="605" t="s">
        <v>861</v>
      </c>
      <c r="BM111" s="543">
        <v>9.1049589370998376</v>
      </c>
      <c r="BO111" s="276"/>
      <c r="BQ111" s="605" t="s">
        <v>861</v>
      </c>
      <c r="BR111" s="543">
        <v>11.961644491151169</v>
      </c>
      <c r="BT111" s="276"/>
      <c r="BV111" s="605" t="s">
        <v>861</v>
      </c>
      <c r="BW111" s="543">
        <v>8.4641173204617619</v>
      </c>
      <c r="BY111" s="276"/>
      <c r="CA111" s="605" t="s">
        <v>861</v>
      </c>
      <c r="CB111" s="543">
        <v>11.229254072136227</v>
      </c>
      <c r="CD111" s="276"/>
      <c r="CF111" s="605" t="s">
        <v>861</v>
      </c>
      <c r="CG111" s="543">
        <v>8.7739116350591626</v>
      </c>
      <c r="CI111" s="276"/>
      <c r="CK111" s="605" t="s">
        <v>861</v>
      </c>
      <c r="CL111" s="543">
        <v>11.5833047173904</v>
      </c>
      <c r="CN111" s="276"/>
      <c r="CP111" s="605" t="s">
        <v>861</v>
      </c>
      <c r="CQ111" s="281" cm="1">
        <f t="array" ref="CQ111">1/($CS$8/INDEX(111:111, $CS$10) + (1-$CS$8)/INDEX(111:111, $CS$11))</f>
        <v>11.731588721278714</v>
      </c>
      <c r="CS111" s="276"/>
      <c r="CU111" s="605" t="s">
        <v>861</v>
      </c>
      <c r="CV111" s="543">
        <v>6.8051967370064279</v>
      </c>
      <c r="CX111" s="276"/>
      <c r="CZ111" s="605" t="s">
        <v>861</v>
      </c>
      <c r="DA111" s="543">
        <v>10.05162825158413</v>
      </c>
      <c r="DC111" s="276"/>
    </row>
    <row r="112" spans="1:107" x14ac:dyDescent="0.15">
      <c r="A112" s="272"/>
      <c r="B112" s="584" t="s">
        <v>862</v>
      </c>
      <c r="C112" s="573">
        <f t="shared" si="3"/>
        <v>8.1282531453361102</v>
      </c>
      <c r="D112" s="568" cm="1">
        <f t="array" ref="D112">IF(INDEX(112:112,$F$2)="","", INDEX(112:112, $F$2))</f>
        <v>8.1282531453361102</v>
      </c>
      <c r="E112" s="1107">
        <f>Lists!O166</f>
        <v>0</v>
      </c>
      <c r="F112" s="565"/>
      <c r="G112" s="590"/>
      <c r="M112" s="605" t="s">
        <v>863</v>
      </c>
      <c r="N112" s="543">
        <v>8.0758216104179024</v>
      </c>
      <c r="O112" s="258"/>
      <c r="P112" s="276"/>
      <c r="R112" s="605" t="s">
        <v>863</v>
      </c>
      <c r="S112" s="543">
        <v>10.925197462402561</v>
      </c>
      <c r="T112" s="258"/>
      <c r="U112" s="276"/>
      <c r="W112" s="605" t="s">
        <v>863</v>
      </c>
      <c r="X112" s="543">
        <v>8.1282531453361102</v>
      </c>
      <c r="Z112" s="276"/>
      <c r="AB112" s="605" t="s">
        <v>863</v>
      </c>
      <c r="AC112" s="543">
        <v>10.9851192165948</v>
      </c>
      <c r="AE112" s="276"/>
      <c r="AG112" s="605" t="s">
        <v>863</v>
      </c>
      <c r="AH112" s="543">
        <v>8.1408632613290983</v>
      </c>
      <c r="AJ112" s="276"/>
      <c r="AL112" s="605" t="s">
        <v>863</v>
      </c>
      <c r="AM112" s="543">
        <v>10.999530777729642</v>
      </c>
      <c r="AO112" s="276"/>
      <c r="AQ112" s="605" t="s">
        <v>863</v>
      </c>
      <c r="AR112" s="543">
        <v>8.216192112129308</v>
      </c>
      <c r="AT112" s="276"/>
      <c r="AV112" s="605" t="s">
        <v>863</v>
      </c>
      <c r="AW112" s="543">
        <v>11.085620892929883</v>
      </c>
      <c r="AY112" s="276"/>
      <c r="BA112" s="605" t="s">
        <v>863</v>
      </c>
      <c r="BB112" s="543">
        <v>8.2706147179937766</v>
      </c>
      <c r="BD112" s="276"/>
      <c r="BF112" s="605" t="s">
        <v>863</v>
      </c>
      <c r="BG112" s="543">
        <v>11.14781815677499</v>
      </c>
      <c r="BI112" s="276"/>
      <c r="BL112" s="605" t="s">
        <v>863</v>
      </c>
      <c r="BM112" s="543">
        <v>8.1964384046767975</v>
      </c>
      <c r="BO112" s="276"/>
      <c r="BQ112" s="605" t="s">
        <v>863</v>
      </c>
      <c r="BR112" s="543">
        <v>11.063045227269869</v>
      </c>
      <c r="BT112" s="276"/>
      <c r="BV112" s="605" t="s">
        <v>863</v>
      </c>
      <c r="BW112" s="543">
        <v>7.5555967880387218</v>
      </c>
      <c r="BY112" s="276"/>
      <c r="CA112" s="605" t="s">
        <v>863</v>
      </c>
      <c r="CB112" s="543">
        <v>10.330654808254927</v>
      </c>
      <c r="CD112" s="276"/>
      <c r="CF112" s="605" t="s">
        <v>863</v>
      </c>
      <c r="CG112" s="543">
        <v>7.8653911026361225</v>
      </c>
      <c r="CI112" s="276"/>
      <c r="CK112" s="605" t="s">
        <v>863</v>
      </c>
      <c r="CL112" s="543">
        <v>10.6847054535091</v>
      </c>
      <c r="CN112" s="276"/>
      <c r="CP112" s="605" t="s">
        <v>863</v>
      </c>
      <c r="CQ112" s="281" cm="1">
        <f t="array" ref="CQ112">1/($CS$8/INDEX(112:112, $CS$10) + (1-$CS$8)/INDEX(112:112, $CS$11))</f>
        <v>10.832829982508143</v>
      </c>
      <c r="CS112" s="276"/>
      <c r="CU112" s="605" t="s">
        <v>863</v>
      </c>
      <c r="CV112" s="543">
        <v>5.8966762045833878</v>
      </c>
      <c r="CX112" s="276"/>
      <c r="CZ112" s="605" t="s">
        <v>863</v>
      </c>
      <c r="DA112" s="543">
        <v>9.1530289877028306</v>
      </c>
      <c r="DC112" s="276"/>
    </row>
    <row r="113" spans="1:107" x14ac:dyDescent="0.15">
      <c r="A113" s="272"/>
      <c r="B113" s="584" t="s">
        <v>864</v>
      </c>
      <c r="C113" s="573">
        <f t="shared" si="3"/>
        <v>7.1438021141383796</v>
      </c>
      <c r="D113" s="568" cm="1">
        <f t="array" ref="D113">IF(INDEX(113:113,$F$2)="","", INDEX(113:113, $F$2))</f>
        <v>7.1438021141383796</v>
      </c>
      <c r="E113" s="1107">
        <f>Lists!O167</f>
        <v>0</v>
      </c>
      <c r="F113" s="565"/>
      <c r="G113" s="590"/>
      <c r="M113" s="605" t="s">
        <v>865</v>
      </c>
      <c r="N113" s="543">
        <v>7.0913705792201718</v>
      </c>
      <c r="O113" s="258"/>
      <c r="P113" s="276"/>
      <c r="R113" s="605" t="s">
        <v>865</v>
      </c>
      <c r="S113" s="543">
        <v>9.7490965151453413</v>
      </c>
      <c r="T113" s="258"/>
      <c r="U113" s="276"/>
      <c r="W113" s="605" t="s">
        <v>865</v>
      </c>
      <c r="X113" s="543">
        <v>7.1438021141383796</v>
      </c>
      <c r="Z113" s="276"/>
      <c r="AB113" s="605" t="s">
        <v>865</v>
      </c>
      <c r="AC113" s="543">
        <v>9.8090182693375798</v>
      </c>
      <c r="AE113" s="276"/>
      <c r="AG113" s="605" t="s">
        <v>865</v>
      </c>
      <c r="AH113" s="543">
        <v>7.1564122301313668</v>
      </c>
      <c r="AJ113" s="276"/>
      <c r="AL113" s="605" t="s">
        <v>865</v>
      </c>
      <c r="AM113" s="543">
        <v>9.8234298304724224</v>
      </c>
      <c r="AO113" s="276"/>
      <c r="AQ113" s="605" t="s">
        <v>865</v>
      </c>
      <c r="AR113" s="543">
        <v>7.2317410809315774</v>
      </c>
      <c r="AT113" s="276"/>
      <c r="AV113" s="605" t="s">
        <v>865</v>
      </c>
      <c r="AW113" s="543">
        <v>9.9095199456726633</v>
      </c>
      <c r="AY113" s="276"/>
      <c r="BA113" s="605" t="s">
        <v>865</v>
      </c>
      <c r="BB113" s="543">
        <v>7.2861636867960469</v>
      </c>
      <c r="BD113" s="276"/>
      <c r="BF113" s="605" t="s">
        <v>865</v>
      </c>
      <c r="BG113" s="543">
        <v>9.9717172095177702</v>
      </c>
      <c r="BI113" s="276"/>
      <c r="BL113" s="605" t="s">
        <v>865</v>
      </c>
      <c r="BM113" s="543">
        <v>7.2119873734790669</v>
      </c>
      <c r="BO113" s="276"/>
      <c r="BQ113" s="605" t="s">
        <v>865</v>
      </c>
      <c r="BR113" s="543">
        <v>9.8869442800126492</v>
      </c>
      <c r="BT113" s="276"/>
      <c r="BV113" s="605" t="s">
        <v>865</v>
      </c>
      <c r="BW113" s="543">
        <v>6.5711457568409912</v>
      </c>
      <c r="BY113" s="276"/>
      <c r="CA113" s="605" t="s">
        <v>865</v>
      </c>
      <c r="CB113" s="543">
        <v>9.1545538609977068</v>
      </c>
      <c r="CD113" s="276"/>
      <c r="CF113" s="605" t="s">
        <v>865</v>
      </c>
      <c r="CG113" s="543">
        <v>6.8809400714383919</v>
      </c>
      <c r="CI113" s="276"/>
      <c r="CK113" s="605" t="s">
        <v>865</v>
      </c>
      <c r="CL113" s="543">
        <v>9.5086045062518796</v>
      </c>
      <c r="CN113" s="276"/>
      <c r="CP113" s="605" t="s">
        <v>865</v>
      </c>
      <c r="CQ113" s="281" cm="1">
        <f t="array" ref="CQ113">1/($CS$8/INDEX(113:113, $CS$10) + (1-$CS$8)/INDEX(113:113, $CS$11))</f>
        <v>9.6564754785035163</v>
      </c>
      <c r="CS113" s="276"/>
      <c r="CU113" s="605" t="s">
        <v>865</v>
      </c>
      <c r="CV113" s="543">
        <v>4.9122251733856572</v>
      </c>
      <c r="CX113" s="276"/>
      <c r="CZ113" s="605" t="s">
        <v>865</v>
      </c>
      <c r="DA113" s="543">
        <v>7.9769280404456113</v>
      </c>
      <c r="DC113" s="276"/>
    </row>
    <row r="114" spans="1:107" x14ac:dyDescent="0.15">
      <c r="A114" s="272"/>
      <c r="B114" s="584" t="s">
        <v>866</v>
      </c>
      <c r="C114" s="573">
        <f t="shared" si="3"/>
        <v>7.0864482998678602</v>
      </c>
      <c r="D114" s="568" cm="1">
        <f t="array" ref="D114">IF(INDEX(114:114,$F$2)="","", INDEX(114:114, $F$2))</f>
        <v>7.0864482998678602</v>
      </c>
      <c r="E114" s="1107">
        <f>Lists!O168</f>
        <v>0</v>
      </c>
      <c r="F114" s="565"/>
      <c r="G114" s="590"/>
      <c r="M114" s="605" t="s">
        <v>867</v>
      </c>
      <c r="N114" s="281">
        <v>7.0340167649496514</v>
      </c>
      <c r="O114" s="258"/>
      <c r="P114" s="276"/>
      <c r="R114" s="605" t="s">
        <v>867</v>
      </c>
      <c r="S114" s="281">
        <v>9.9504962312552614</v>
      </c>
      <c r="T114" s="258"/>
      <c r="U114" s="276"/>
      <c r="W114" s="605" t="s">
        <v>867</v>
      </c>
      <c r="X114" s="281">
        <v>7.0864482998678602</v>
      </c>
      <c r="Z114" s="276"/>
      <c r="AB114" s="605" t="s">
        <v>867</v>
      </c>
      <c r="AC114" s="281">
        <v>10.0104179854475</v>
      </c>
      <c r="AE114" s="276"/>
      <c r="AG114" s="605" t="s">
        <v>867</v>
      </c>
      <c r="AH114" s="281">
        <v>7.0990584158608474</v>
      </c>
      <c r="AJ114" s="276"/>
      <c r="AL114" s="605" t="s">
        <v>867</v>
      </c>
      <c r="AM114" s="281">
        <v>10.024829546582342</v>
      </c>
      <c r="AO114" s="276"/>
      <c r="AQ114" s="605" t="s">
        <v>867</v>
      </c>
      <c r="AR114" s="281">
        <v>7.174387266661058</v>
      </c>
      <c r="AT114" s="276"/>
      <c r="AV114" s="605" t="s">
        <v>867</v>
      </c>
      <c r="AW114" s="281">
        <v>10.110919661782583</v>
      </c>
      <c r="AY114" s="276"/>
      <c r="BA114" s="605" t="s">
        <v>867</v>
      </c>
      <c r="BB114" s="281">
        <v>7.2288098725255274</v>
      </c>
      <c r="BD114" s="276"/>
      <c r="BF114" s="605" t="s">
        <v>867</v>
      </c>
      <c r="BG114" s="281">
        <v>10.17311692562769</v>
      </c>
      <c r="BI114" s="276"/>
      <c r="BL114" s="605" t="s">
        <v>867</v>
      </c>
      <c r="BM114" s="281">
        <v>7.1546335592085466</v>
      </c>
      <c r="BO114" s="276"/>
      <c r="BQ114" s="605" t="s">
        <v>867</v>
      </c>
      <c r="BR114" s="281">
        <v>10.088343996122569</v>
      </c>
      <c r="BT114" s="276"/>
      <c r="BV114" s="605" t="s">
        <v>867</v>
      </c>
      <c r="BW114" s="281">
        <v>6.5137919425704718</v>
      </c>
      <c r="BY114" s="276"/>
      <c r="CA114" s="605" t="s">
        <v>867</v>
      </c>
      <c r="CB114" s="281">
        <v>9.355953577107627</v>
      </c>
      <c r="CD114" s="276"/>
      <c r="CF114" s="605" t="s">
        <v>867</v>
      </c>
      <c r="CG114" s="281">
        <v>6.8235862571678725</v>
      </c>
      <c r="CI114" s="276"/>
      <c r="CK114" s="605" t="s">
        <v>867</v>
      </c>
      <c r="CL114" s="281">
        <v>9.7100042223617997</v>
      </c>
      <c r="CN114" s="276"/>
      <c r="CP114" s="605" t="s">
        <v>867</v>
      </c>
      <c r="CQ114" s="281" cm="1">
        <f t="array" ref="CQ114">1/($CS$8/INDEX(114:114, $CS$10) + (1-$CS$8)/INDEX(114:114, $CS$11))</f>
        <v>9.8579229067225551</v>
      </c>
      <c r="CS114" s="276"/>
      <c r="CU114" s="605" t="s">
        <v>867</v>
      </c>
      <c r="CV114" s="281">
        <v>4.8548713591151369</v>
      </c>
      <c r="CX114" s="276"/>
      <c r="CZ114" s="605" t="s">
        <v>867</v>
      </c>
      <c r="DA114" s="281">
        <v>8.1783277565555306</v>
      </c>
      <c r="DC114" s="276"/>
    </row>
    <row r="115" spans="1:107" x14ac:dyDescent="0.15">
      <c r="A115" s="272"/>
      <c r="B115" s="584" t="s">
        <v>868</v>
      </c>
      <c r="C115" s="573">
        <f t="shared" si="3"/>
        <v>7.2802653762002905</v>
      </c>
      <c r="D115" s="568" cm="1">
        <f t="array" ref="D115">IF(INDEX(115:115,$F$2)="","", INDEX(115:115, $F$2))</f>
        <v>7.2802653762002905</v>
      </c>
      <c r="E115" s="1107">
        <f>Lists!O169</f>
        <v>0</v>
      </c>
      <c r="F115" s="565"/>
      <c r="G115" s="590"/>
      <c r="M115" s="605" t="s">
        <v>869</v>
      </c>
      <c r="N115" s="543">
        <v>7.2278338412820826</v>
      </c>
      <c r="O115" s="258"/>
      <c r="P115" s="276"/>
      <c r="R115" s="605" t="s">
        <v>869</v>
      </c>
      <c r="S115" s="543">
        <v>10.325753863747661</v>
      </c>
      <c r="T115" s="258"/>
      <c r="U115" s="276"/>
      <c r="W115" s="605" t="s">
        <v>869</v>
      </c>
      <c r="X115" s="543">
        <v>7.2802653762002905</v>
      </c>
      <c r="Z115" s="276"/>
      <c r="AB115" s="605" t="s">
        <v>869</v>
      </c>
      <c r="AC115" s="543">
        <v>10.385675617939899</v>
      </c>
      <c r="AE115" s="276"/>
      <c r="AG115" s="605" t="s">
        <v>869</v>
      </c>
      <c r="AH115" s="543">
        <v>7.2928754921932777</v>
      </c>
      <c r="AJ115" s="276"/>
      <c r="AL115" s="605" t="s">
        <v>869</v>
      </c>
      <c r="AM115" s="543">
        <v>10.400087179074742</v>
      </c>
      <c r="AO115" s="276"/>
      <c r="AQ115" s="605" t="s">
        <v>869</v>
      </c>
      <c r="AR115" s="543">
        <v>7.3682043429934883</v>
      </c>
      <c r="AT115" s="276"/>
      <c r="AV115" s="605" t="s">
        <v>869</v>
      </c>
      <c r="AW115" s="543">
        <v>10.486177294274983</v>
      </c>
      <c r="AY115" s="276"/>
      <c r="BA115" s="605" t="s">
        <v>869</v>
      </c>
      <c r="BB115" s="543">
        <v>7.4226269488579577</v>
      </c>
      <c r="BD115" s="276"/>
      <c r="BF115" s="605" t="s">
        <v>869</v>
      </c>
      <c r="BG115" s="543">
        <v>10.54837455812009</v>
      </c>
      <c r="BI115" s="276"/>
      <c r="BL115" s="605" t="s">
        <v>869</v>
      </c>
      <c r="BM115" s="543">
        <v>7.3484506355409778</v>
      </c>
      <c r="BO115" s="276"/>
      <c r="BQ115" s="605" t="s">
        <v>869</v>
      </c>
      <c r="BR115" s="543">
        <v>10.463601628614969</v>
      </c>
      <c r="BT115" s="276"/>
      <c r="BV115" s="605" t="s">
        <v>869</v>
      </c>
      <c r="BW115" s="543">
        <v>6.7076090189029021</v>
      </c>
      <c r="BY115" s="276"/>
      <c r="CA115" s="605" t="s">
        <v>869</v>
      </c>
      <c r="CB115" s="543">
        <v>9.7312112096000263</v>
      </c>
      <c r="CD115" s="276"/>
      <c r="CF115" s="605" t="s">
        <v>869</v>
      </c>
      <c r="CG115" s="543">
        <v>7.0174033335003028</v>
      </c>
      <c r="CI115" s="276"/>
      <c r="CK115" s="605" t="s">
        <v>869</v>
      </c>
      <c r="CL115" s="543">
        <v>10.085261854854199</v>
      </c>
      <c r="CN115" s="276"/>
      <c r="CP115" s="605" t="s">
        <v>869</v>
      </c>
      <c r="CQ115" s="281" cm="1">
        <f t="array" ref="CQ115">1/($CS$8/INDEX(115:115, $CS$10) + (1-$CS$8)/INDEX(115:115, $CS$11))</f>
        <v>10.233264430190475</v>
      </c>
      <c r="CS115" s="276"/>
      <c r="CU115" s="605" t="s">
        <v>869</v>
      </c>
      <c r="CV115" s="543">
        <v>5.0486884354475681</v>
      </c>
      <c r="CX115" s="276"/>
      <c r="CZ115" s="605" t="s">
        <v>869</v>
      </c>
      <c r="DA115" s="543">
        <v>8.5535853890479299</v>
      </c>
      <c r="DC115" s="276"/>
    </row>
    <row r="116" spans="1:107" x14ac:dyDescent="0.15">
      <c r="A116" s="272"/>
      <c r="B116" s="584" t="s">
        <v>870</v>
      </c>
      <c r="C116" s="573">
        <f t="shared" si="3"/>
        <v>7.4740824525327199</v>
      </c>
      <c r="D116" s="568" cm="1">
        <f t="array" ref="D116">IF(INDEX(116:116,$F$2)="","", INDEX(116:116, $F$2))</f>
        <v>7.4740824525327199</v>
      </c>
      <c r="E116" s="1107">
        <f>Lists!O170</f>
        <v>0</v>
      </c>
      <c r="F116" s="565"/>
      <c r="G116" s="590"/>
      <c r="M116" s="605" t="s">
        <v>871</v>
      </c>
      <c r="N116" s="543">
        <v>7.421650917614512</v>
      </c>
      <c r="O116" s="258"/>
      <c r="P116" s="276"/>
      <c r="R116" s="605" t="s">
        <v>871</v>
      </c>
      <c r="S116" s="543">
        <v>10.701011496240062</v>
      </c>
      <c r="T116" s="258"/>
      <c r="U116" s="276"/>
      <c r="W116" s="605" t="s">
        <v>871</v>
      </c>
      <c r="X116" s="543">
        <v>7.4740824525327199</v>
      </c>
      <c r="Z116" s="276"/>
      <c r="AB116" s="605" t="s">
        <v>871</v>
      </c>
      <c r="AC116" s="543">
        <v>10.7609332504323</v>
      </c>
      <c r="AE116" s="276"/>
      <c r="AG116" s="605" t="s">
        <v>871</v>
      </c>
      <c r="AH116" s="543">
        <v>7.4866925685257071</v>
      </c>
      <c r="AJ116" s="276"/>
      <c r="AL116" s="605" t="s">
        <v>871</v>
      </c>
      <c r="AM116" s="543">
        <v>10.775344811567143</v>
      </c>
      <c r="AO116" s="276"/>
      <c r="AQ116" s="605" t="s">
        <v>871</v>
      </c>
      <c r="AR116" s="543">
        <v>7.5620214193259176</v>
      </c>
      <c r="AT116" s="276"/>
      <c r="AV116" s="605" t="s">
        <v>871</v>
      </c>
      <c r="AW116" s="543">
        <v>10.861434926767384</v>
      </c>
      <c r="AY116" s="276"/>
      <c r="BA116" s="605" t="s">
        <v>871</v>
      </c>
      <c r="BB116" s="543">
        <v>7.6164440251903871</v>
      </c>
      <c r="BD116" s="276"/>
      <c r="BF116" s="605" t="s">
        <v>871</v>
      </c>
      <c r="BG116" s="543">
        <v>10.923632190612491</v>
      </c>
      <c r="BI116" s="276"/>
      <c r="BL116" s="605" t="s">
        <v>871</v>
      </c>
      <c r="BM116" s="543">
        <v>7.5422677118734072</v>
      </c>
      <c r="BO116" s="276"/>
      <c r="BQ116" s="605" t="s">
        <v>871</v>
      </c>
      <c r="BR116" s="543">
        <v>10.83885926110737</v>
      </c>
      <c r="BT116" s="276"/>
      <c r="BV116" s="605" t="s">
        <v>871</v>
      </c>
      <c r="BW116" s="543">
        <v>6.9014260952353315</v>
      </c>
      <c r="BY116" s="276"/>
      <c r="CA116" s="605" t="s">
        <v>871</v>
      </c>
      <c r="CB116" s="543">
        <v>10.106468842092427</v>
      </c>
      <c r="CD116" s="276"/>
      <c r="CF116" s="605" t="s">
        <v>871</v>
      </c>
      <c r="CG116" s="543">
        <v>7.2112204098327322</v>
      </c>
      <c r="CI116" s="276"/>
      <c r="CK116" s="605" t="s">
        <v>871</v>
      </c>
      <c r="CL116" s="543">
        <v>10.4605194873466</v>
      </c>
      <c r="CN116" s="276"/>
      <c r="CP116" s="605" t="s">
        <v>871</v>
      </c>
      <c r="CQ116" s="281" cm="1">
        <f t="array" ref="CQ116">1/($CS$8/INDEX(116:116, $CS$10) + (1-$CS$8)/INDEX(116:116, $CS$11))</f>
        <v>10.608600019902733</v>
      </c>
      <c r="CS116" s="276"/>
      <c r="CU116" s="605" t="s">
        <v>871</v>
      </c>
      <c r="CV116" s="543">
        <v>5.2425055117799975</v>
      </c>
      <c r="CX116" s="276"/>
      <c r="CZ116" s="605" t="s">
        <v>871</v>
      </c>
      <c r="DA116" s="543">
        <v>8.9288430215403309</v>
      </c>
      <c r="DC116" s="276"/>
    </row>
    <row r="117" spans="1:107" x14ac:dyDescent="0.15">
      <c r="A117" s="272"/>
      <c r="B117" s="584" t="s">
        <v>872</v>
      </c>
      <c r="C117" s="573">
        <f t="shared" si="3"/>
        <v>7.7583691561447701</v>
      </c>
      <c r="D117" s="568" cm="1">
        <f t="array" ref="D117">IF(INDEX(117:117,$F$2)="","", INDEX(117:117, $F$2))</f>
        <v>7.7583691561447701</v>
      </c>
      <c r="E117" s="1107">
        <f>Lists!O171</f>
        <v>0</v>
      </c>
      <c r="F117" s="565"/>
      <c r="G117" s="590"/>
      <c r="M117" s="605" t="s">
        <v>873</v>
      </c>
      <c r="N117" s="543">
        <v>7.7059376212265622</v>
      </c>
      <c r="O117" s="258"/>
      <c r="P117" s="276"/>
      <c r="R117" s="605" t="s">
        <v>873</v>
      </c>
      <c r="S117" s="543">
        <v>10.750078245807762</v>
      </c>
      <c r="T117" s="258"/>
      <c r="U117" s="276"/>
      <c r="W117" s="605" t="s">
        <v>873</v>
      </c>
      <c r="X117" s="543">
        <v>7.7583691561447701</v>
      </c>
      <c r="Z117" s="276"/>
      <c r="AB117" s="605" t="s">
        <v>873</v>
      </c>
      <c r="AC117" s="543">
        <v>10.81</v>
      </c>
      <c r="AE117" s="276"/>
      <c r="AG117" s="605" t="s">
        <v>873</v>
      </c>
      <c r="AH117" s="543">
        <v>7.7709792721377573</v>
      </c>
      <c r="AJ117" s="276"/>
      <c r="AL117" s="605" t="s">
        <v>873</v>
      </c>
      <c r="AM117" s="543">
        <v>10.824411561134843</v>
      </c>
      <c r="AO117" s="276"/>
      <c r="AQ117" s="605" t="s">
        <v>873</v>
      </c>
      <c r="AR117" s="543">
        <v>7.8463081229379679</v>
      </c>
      <c r="AT117" s="276"/>
      <c r="AV117" s="605" t="s">
        <v>873</v>
      </c>
      <c r="AW117" s="543">
        <v>10.910501676335084</v>
      </c>
      <c r="AY117" s="276"/>
      <c r="BA117" s="605" t="s">
        <v>873</v>
      </c>
      <c r="BB117" s="543">
        <v>7.9007307288024373</v>
      </c>
      <c r="BD117" s="276"/>
      <c r="BF117" s="605" t="s">
        <v>873</v>
      </c>
      <c r="BG117" s="543">
        <v>10.972698940180191</v>
      </c>
      <c r="BI117" s="276"/>
      <c r="BL117" s="605" t="s">
        <v>873</v>
      </c>
      <c r="BM117" s="543">
        <v>7.8265544154854574</v>
      </c>
      <c r="BO117" s="276"/>
      <c r="BQ117" s="605" t="s">
        <v>873</v>
      </c>
      <c r="BR117" s="543">
        <v>10.88792601067507</v>
      </c>
      <c r="BT117" s="276"/>
      <c r="BV117" s="605" t="s">
        <v>873</v>
      </c>
      <c r="BW117" s="543">
        <v>7.1857127988473817</v>
      </c>
      <c r="BY117" s="276"/>
      <c r="CA117" s="605" t="s">
        <v>873</v>
      </c>
      <c r="CB117" s="543">
        <v>10.155535591660128</v>
      </c>
      <c r="CD117" s="276"/>
      <c r="CF117" s="605" t="s">
        <v>873</v>
      </c>
      <c r="CG117" s="543">
        <v>7.4955071134447824</v>
      </c>
      <c r="CI117" s="276"/>
      <c r="CK117" s="605" t="s">
        <v>873</v>
      </c>
      <c r="CL117" s="543">
        <v>10.5095862369143</v>
      </c>
      <c r="CN117" s="276"/>
      <c r="CP117" s="605" t="s">
        <v>873</v>
      </c>
      <c r="CQ117" s="281" cm="1">
        <f t="array" ref="CQ117">1/($CS$8/INDEX(117:117, $CS$10) + (1-$CS$8)/INDEX(117:117, $CS$11))</f>
        <v>10.657676556999332</v>
      </c>
      <c r="CS117" s="276"/>
      <c r="CU117" s="605" t="s">
        <v>873</v>
      </c>
      <c r="CV117" s="543">
        <v>5.5267922153920477</v>
      </c>
      <c r="CX117" s="276"/>
      <c r="CZ117" s="605" t="s">
        <v>873</v>
      </c>
      <c r="DA117" s="543">
        <v>8.9779097711080311</v>
      </c>
      <c r="DC117" s="276"/>
    </row>
    <row r="118" spans="1:107" x14ac:dyDescent="0.15">
      <c r="A118" s="272"/>
      <c r="B118" s="584" t="s">
        <v>874</v>
      </c>
      <c r="C118" s="573">
        <f t="shared" si="3"/>
        <v>8.2499549155891803</v>
      </c>
      <c r="D118" s="568" cm="1">
        <f t="array" ref="D118">IF(INDEX(118:118,$F$2)="","", INDEX(118:118, $F$2))</f>
        <v>8.2499549155891803</v>
      </c>
      <c r="E118" s="1107">
        <f>Lists!O172</f>
        <v>0</v>
      </c>
      <c r="F118" s="565"/>
      <c r="G118" s="590"/>
      <c r="M118" s="605" t="s">
        <v>875</v>
      </c>
      <c r="N118" s="543">
        <v>8.1975233806709724</v>
      </c>
      <c r="O118" s="258"/>
      <c r="P118" s="276"/>
      <c r="R118" s="605" t="s">
        <v>875</v>
      </c>
      <c r="S118" s="543">
        <v>10.833894050159161</v>
      </c>
      <c r="T118" s="258"/>
      <c r="U118" s="276"/>
      <c r="W118" s="605" t="s">
        <v>875</v>
      </c>
      <c r="X118" s="543">
        <v>8.2499549155891803</v>
      </c>
      <c r="Z118" s="276"/>
      <c r="AB118" s="605" t="s">
        <v>875</v>
      </c>
      <c r="AC118" s="543">
        <v>10.8938158043514</v>
      </c>
      <c r="AE118" s="276"/>
      <c r="AG118" s="605" t="s">
        <v>875</v>
      </c>
      <c r="AH118" s="543">
        <v>8.2625650315821666</v>
      </c>
      <c r="AJ118" s="276"/>
      <c r="AL118" s="605" t="s">
        <v>875</v>
      </c>
      <c r="AM118" s="543">
        <v>10.908227365486242</v>
      </c>
      <c r="AO118" s="276"/>
      <c r="AQ118" s="605" t="s">
        <v>875</v>
      </c>
      <c r="AR118" s="543">
        <v>8.3378938823823781</v>
      </c>
      <c r="AT118" s="276"/>
      <c r="AV118" s="605" t="s">
        <v>875</v>
      </c>
      <c r="AW118" s="543">
        <v>10.994317480686483</v>
      </c>
      <c r="AY118" s="276"/>
      <c r="BA118" s="605" t="s">
        <v>875</v>
      </c>
      <c r="BB118" s="543">
        <v>8.3923164882468484</v>
      </c>
      <c r="BD118" s="276"/>
      <c r="BF118" s="605" t="s">
        <v>875</v>
      </c>
      <c r="BG118" s="543">
        <v>11.05651474453159</v>
      </c>
      <c r="BI118" s="276"/>
      <c r="BL118" s="605" t="s">
        <v>875</v>
      </c>
      <c r="BM118" s="543">
        <v>8.3181401749298676</v>
      </c>
      <c r="BO118" s="276"/>
      <c r="BQ118" s="605" t="s">
        <v>875</v>
      </c>
      <c r="BR118" s="543">
        <v>10.971741815026469</v>
      </c>
      <c r="BT118" s="276"/>
      <c r="BV118" s="605" t="s">
        <v>875</v>
      </c>
      <c r="BW118" s="543">
        <v>7.6772985582917919</v>
      </c>
      <c r="BY118" s="276"/>
      <c r="CA118" s="605" t="s">
        <v>875</v>
      </c>
      <c r="CB118" s="543">
        <v>10.239351396011527</v>
      </c>
      <c r="CD118" s="276"/>
      <c r="CF118" s="605" t="s">
        <v>875</v>
      </c>
      <c r="CG118" s="543">
        <v>7.9870928728891926</v>
      </c>
      <c r="CI118" s="276"/>
      <c r="CK118" s="605" t="s">
        <v>875</v>
      </c>
      <c r="CL118" s="543">
        <v>10.5934020412657</v>
      </c>
      <c r="CN118" s="276"/>
      <c r="CP118" s="605" t="s">
        <v>875</v>
      </c>
      <c r="CQ118" s="281" cm="1">
        <f t="array" ref="CQ118">1/($CS$8/INDEX(118:118, $CS$10) + (1-$CS$8)/INDEX(118:118, $CS$11))</f>
        <v>10.741508873614194</v>
      </c>
      <c r="CS118" s="276"/>
      <c r="CU118" s="605" t="s">
        <v>875</v>
      </c>
      <c r="CV118" s="543">
        <v>6.0183779748364579</v>
      </c>
      <c r="CX118" s="276"/>
      <c r="CZ118" s="605" t="s">
        <v>875</v>
      </c>
      <c r="DA118" s="543">
        <v>9.0617255754594304</v>
      </c>
      <c r="DC118" s="276"/>
    </row>
    <row r="119" spans="1:107" x14ac:dyDescent="0.15">
      <c r="A119" s="272"/>
      <c r="B119" s="584" t="s">
        <v>876</v>
      </c>
      <c r="C119" s="573">
        <f t="shared" si="3"/>
        <v>8.6624526613686399</v>
      </c>
      <c r="D119" s="568" cm="1">
        <f t="array" ref="D119">IF(INDEX(119:119,$F$2)="","", INDEX(119:119, $F$2))</f>
        <v>8.6624526613686399</v>
      </c>
      <c r="E119" s="1107">
        <f>Lists!O173</f>
        <v>0</v>
      </c>
      <c r="F119" s="565"/>
      <c r="G119" s="590"/>
      <c r="M119" s="605" t="s">
        <v>877</v>
      </c>
      <c r="N119" s="281">
        <f>N118*1.05</f>
        <v>8.607399549704521</v>
      </c>
      <c r="O119" s="258"/>
      <c r="P119" s="276"/>
      <c r="R119" s="605" t="s">
        <v>877</v>
      </c>
      <c r="S119" s="281">
        <f>S118*1.05</f>
        <v>11.37558875266712</v>
      </c>
      <c r="T119" s="258"/>
      <c r="U119" s="276"/>
      <c r="W119" s="605" t="s">
        <v>877</v>
      </c>
      <c r="X119" s="281">
        <f>X118*1.05</f>
        <v>8.6624526613686399</v>
      </c>
      <c r="Z119" s="276"/>
      <c r="AB119" s="605" t="s">
        <v>877</v>
      </c>
      <c r="AC119" s="281">
        <f>AC118*1.05</f>
        <v>11.43850659456897</v>
      </c>
      <c r="AE119" s="276"/>
      <c r="AG119" s="605" t="s">
        <v>877</v>
      </c>
      <c r="AH119" s="281">
        <f>AH118*1.05</f>
        <v>8.6756932831612747</v>
      </c>
      <c r="AJ119" s="276"/>
      <c r="AL119" s="605" t="s">
        <v>877</v>
      </c>
      <c r="AM119" s="281">
        <f>AM118*1.05</f>
        <v>11.453638733760554</v>
      </c>
      <c r="AO119" s="276"/>
      <c r="AQ119" s="605" t="s">
        <v>877</v>
      </c>
      <c r="AR119" s="281">
        <f>AR118*1.05</f>
        <v>8.7547885765014968</v>
      </c>
      <c r="AT119" s="276"/>
      <c r="AV119" s="605" t="s">
        <v>877</v>
      </c>
      <c r="AW119" s="281">
        <f>AW118*1.05</f>
        <v>11.544033354720808</v>
      </c>
      <c r="AY119" s="276"/>
      <c r="BA119" s="605" t="s">
        <v>877</v>
      </c>
      <c r="BB119" s="281">
        <f>BB118*1.05</f>
        <v>8.8119323126591915</v>
      </c>
      <c r="BD119" s="276"/>
      <c r="BF119" s="605" t="s">
        <v>877</v>
      </c>
      <c r="BG119" s="281">
        <f>BG118*1.05</f>
        <v>11.609340481758171</v>
      </c>
      <c r="BI119" s="276"/>
      <c r="BL119" s="605" t="s">
        <v>877</v>
      </c>
      <c r="BM119" s="281">
        <f>BM118*1.05</f>
        <v>8.7340471836763616</v>
      </c>
      <c r="BO119" s="276"/>
      <c r="BQ119" s="605" t="s">
        <v>877</v>
      </c>
      <c r="BR119" s="281">
        <f>BR118*1.05</f>
        <v>11.520328905777793</v>
      </c>
      <c r="BT119" s="276"/>
      <c r="BV119" s="605" t="s">
        <v>877</v>
      </c>
      <c r="BW119" s="281">
        <f>BW118*1.05</f>
        <v>8.0611634862063823</v>
      </c>
      <c r="BY119" s="276"/>
      <c r="CA119" s="605" t="s">
        <v>877</v>
      </c>
      <c r="CB119" s="281">
        <f>CB118*1.05</f>
        <v>10.751318965812104</v>
      </c>
      <c r="CD119" s="276"/>
      <c r="CF119" s="605" t="s">
        <v>877</v>
      </c>
      <c r="CG119" s="281">
        <f>CG118*1.05</f>
        <v>8.3864475165336518</v>
      </c>
      <c r="CI119" s="276"/>
      <c r="CK119" s="605" t="s">
        <v>877</v>
      </c>
      <c r="CL119" s="281">
        <f>CL118*1.05</f>
        <v>11.123072143328985</v>
      </c>
      <c r="CN119" s="276"/>
      <c r="CP119" s="605" t="s">
        <v>877</v>
      </c>
      <c r="CQ119" s="281" cm="1">
        <f t="array" ref="CQ119">1/($CS$8/INDEX(119:119, $CS$10) + (1-$CS$8)/INDEX(119:119, $CS$11))</f>
        <v>11.278584317294904</v>
      </c>
      <c r="CS119" s="276"/>
      <c r="CU119" s="605" t="s">
        <v>877</v>
      </c>
      <c r="CV119" s="281">
        <f>CV118*1.05</f>
        <v>6.3192968735782813</v>
      </c>
      <c r="CX119" s="276"/>
      <c r="CZ119" s="605" t="s">
        <v>877</v>
      </c>
      <c r="DA119" s="281">
        <f>DA118*1.05</f>
        <v>9.5148118542324021</v>
      </c>
      <c r="DC119" s="276"/>
    </row>
    <row r="120" spans="1:107" x14ac:dyDescent="0.15">
      <c r="A120" s="272"/>
      <c r="B120" s="584"/>
      <c r="C120" s="573"/>
      <c r="D120" s="568"/>
      <c r="E120" s="568"/>
      <c r="F120" s="565"/>
      <c r="G120" s="590"/>
      <c r="M120" s="605"/>
      <c r="N120" s="258"/>
      <c r="O120" s="258"/>
      <c r="P120" s="276"/>
      <c r="R120" s="605"/>
      <c r="S120" s="258"/>
      <c r="T120" s="258"/>
      <c r="U120" s="276"/>
      <c r="W120" s="605"/>
      <c r="X120" s="543"/>
      <c r="Z120" s="276"/>
      <c r="AB120" s="605"/>
      <c r="AC120" s="543"/>
      <c r="AE120" s="276"/>
      <c r="AG120" s="605"/>
      <c r="AJ120" s="276"/>
      <c r="AL120" s="605"/>
      <c r="AO120" s="276"/>
      <c r="AQ120" s="605"/>
      <c r="AT120" s="276"/>
      <c r="AV120" s="605"/>
      <c r="AY120" s="276"/>
      <c r="BA120" s="605"/>
      <c r="BD120" s="276"/>
      <c r="BF120" s="605"/>
      <c r="BI120" s="276"/>
      <c r="BL120" s="605"/>
      <c r="BO120" s="276"/>
      <c r="BQ120" s="605"/>
      <c r="BT120" s="276"/>
      <c r="BV120" s="605"/>
      <c r="BY120" s="276"/>
      <c r="CA120" s="605"/>
      <c r="CD120" s="276"/>
      <c r="CF120" s="605"/>
      <c r="CI120" s="276"/>
      <c r="CK120" s="605"/>
      <c r="CN120" s="276"/>
      <c r="CP120" s="605"/>
      <c r="CS120" s="276"/>
      <c r="CU120" s="605"/>
      <c r="CX120" s="276"/>
      <c r="CZ120" s="605"/>
      <c r="DC120" s="276"/>
    </row>
    <row r="121" spans="1:107" ht="16" x14ac:dyDescent="0.2">
      <c r="A121" s="272"/>
      <c r="B121" s="475" t="s">
        <v>878</v>
      </c>
      <c r="C121" s="573" t="str">
        <f>IF(AND(D121="",F121=""),"",IF(F121="",D121,F121))</f>
        <v/>
      </c>
      <c r="D121" s="568" t="str" cm="1">
        <f t="array" ref="D121">IF(INDEX(121:121,$F$2)="","", INDEX(121:121, $F$2))</f>
        <v/>
      </c>
      <c r="E121" s="568"/>
      <c r="F121" s="565"/>
      <c r="G121" s="590"/>
      <c r="M121" s="1026" t="s">
        <v>879</v>
      </c>
      <c r="N121" s="258"/>
      <c r="O121" s="258"/>
      <c r="P121" s="276"/>
      <c r="R121" s="1026" t="s">
        <v>879</v>
      </c>
      <c r="S121" s="258"/>
      <c r="T121" s="258"/>
      <c r="U121" s="276"/>
      <c r="W121" s="1026" t="s">
        <v>879</v>
      </c>
      <c r="Z121" s="276"/>
      <c r="AB121" s="1026" t="s">
        <v>879</v>
      </c>
      <c r="AE121" s="276"/>
      <c r="AG121" s="1026" t="s">
        <v>879</v>
      </c>
      <c r="AJ121" s="276"/>
      <c r="AL121" s="1026" t="s">
        <v>879</v>
      </c>
      <c r="AO121" s="276"/>
      <c r="AQ121" s="1026" t="s">
        <v>879</v>
      </c>
      <c r="AT121" s="276"/>
      <c r="AV121" s="1026" t="s">
        <v>879</v>
      </c>
      <c r="AY121" s="276"/>
      <c r="BA121" s="1026" t="s">
        <v>879</v>
      </c>
      <c r="BD121" s="276"/>
      <c r="BF121" s="1026" t="s">
        <v>879</v>
      </c>
      <c r="BI121" s="276"/>
      <c r="BL121" s="1026" t="s">
        <v>879</v>
      </c>
      <c r="BO121" s="276"/>
      <c r="BQ121" s="1026" t="s">
        <v>879</v>
      </c>
      <c r="BT121" s="276"/>
      <c r="BV121" s="1026" t="s">
        <v>879</v>
      </c>
      <c r="BY121" s="276"/>
      <c r="CA121" s="1026" t="s">
        <v>879</v>
      </c>
      <c r="CD121" s="276"/>
      <c r="CF121" s="1026" t="s">
        <v>879</v>
      </c>
      <c r="CI121" s="276"/>
      <c r="CK121" s="1026" t="s">
        <v>879</v>
      </c>
      <c r="CN121" s="276"/>
      <c r="CP121" s="1026" t="s">
        <v>879</v>
      </c>
      <c r="CS121" s="276"/>
      <c r="CU121" s="1026" t="s">
        <v>879</v>
      </c>
      <c r="CX121" s="276"/>
      <c r="CZ121" s="1026" t="s">
        <v>879</v>
      </c>
      <c r="DC121" s="276"/>
    </row>
    <row r="122" spans="1:107" x14ac:dyDescent="0.15">
      <c r="A122" s="272"/>
      <c r="B122" s="357" t="s">
        <v>880</v>
      </c>
      <c r="C122" s="573">
        <f>IF(AND(D122="",F122=""),"",IF(F122="",D122+E122,F122))</f>
        <v>35.62622429003644</v>
      </c>
      <c r="D122" s="568" cm="1">
        <f t="array" ref="D122">IF(INDEX(122:122,$F$2)="","", INDEX(122:122, $F$2))</f>
        <v>35.62622429003644</v>
      </c>
      <c r="E122" s="1107">
        <f>Lists!O176</f>
        <v>0</v>
      </c>
      <c r="F122" s="1084"/>
      <c r="G122" s="590"/>
      <c r="M122" s="309" t="s">
        <v>881</v>
      </c>
      <c r="N122" s="281">
        <f>N123*1.7</f>
        <v>35.492523875995012</v>
      </c>
      <c r="O122" s="258"/>
      <c r="P122" s="276"/>
      <c r="R122" s="309" t="s">
        <v>881</v>
      </c>
      <c r="S122" s="281">
        <f>S123*1.7</f>
        <v>46.923229937177162</v>
      </c>
      <c r="T122" s="258"/>
      <c r="U122" s="276"/>
      <c r="W122" s="309" t="s">
        <v>881</v>
      </c>
      <c r="X122" s="281">
        <f>X123*1.7</f>
        <v>35.62622429003644</v>
      </c>
      <c r="Z122" s="276"/>
      <c r="AB122" s="309" t="s">
        <v>881</v>
      </c>
      <c r="AC122" s="281">
        <f>AC123*1.7</f>
        <v>47.07603041036738</v>
      </c>
      <c r="AE122" s="276"/>
      <c r="AG122" s="309" t="s">
        <v>881</v>
      </c>
      <c r="AH122" s="281">
        <f>AH123*1.7</f>
        <v>35.658380085818564</v>
      </c>
      <c r="AJ122" s="276"/>
      <c r="AL122" s="309" t="s">
        <v>881</v>
      </c>
      <c r="AM122" s="281">
        <f>AM123*1.7</f>
        <v>47.112779891261219</v>
      </c>
      <c r="AO122" s="276"/>
      <c r="AQ122" s="309" t="s">
        <v>881</v>
      </c>
      <c r="AR122" s="281">
        <f>AR123*1.7</f>
        <v>35.850468655359101</v>
      </c>
      <c r="AT122" s="276"/>
      <c r="AV122" s="309" t="s">
        <v>881</v>
      </c>
      <c r="AW122" s="281">
        <f>AW123*1.7</f>
        <v>47.332309685021833</v>
      </c>
      <c r="AY122" s="276"/>
      <c r="BA122" s="309" t="s">
        <v>881</v>
      </c>
      <c r="BB122" s="281">
        <f>BB123*1.7</f>
        <v>35.989246300313496</v>
      </c>
      <c r="BD122" s="276"/>
      <c r="BF122" s="309" t="s">
        <v>881</v>
      </c>
      <c r="BG122" s="281">
        <f>BG123*1.7</f>
        <v>47.490912707826865</v>
      </c>
      <c r="BI122" s="276"/>
      <c r="BL122" s="309" t="s">
        <v>881</v>
      </c>
      <c r="BM122" s="281">
        <f>BM123*1.7</f>
        <v>35.800096701355194</v>
      </c>
      <c r="BO122" s="276"/>
      <c r="BQ122" s="309" t="s">
        <v>881</v>
      </c>
      <c r="BR122" s="281">
        <f>BR123*1.7</f>
        <v>47.274741737588812</v>
      </c>
      <c r="BT122" s="276"/>
      <c r="BV122" s="309" t="s">
        <v>881</v>
      </c>
      <c r="BW122" s="281">
        <f>BW123*1.7</f>
        <v>34.165950578928104</v>
      </c>
      <c r="BY122" s="276"/>
      <c r="CA122" s="309" t="s">
        <v>881</v>
      </c>
      <c r="CB122" s="281">
        <f>CB123*1.7</f>
        <v>45.407146169100699</v>
      </c>
      <c r="CD122" s="276"/>
      <c r="CF122" s="309" t="s">
        <v>881</v>
      </c>
      <c r="CG122" s="281">
        <f>CG123*1.7</f>
        <v>34.955926081151475</v>
      </c>
      <c r="CI122" s="276"/>
      <c r="CK122" s="309" t="s">
        <v>881</v>
      </c>
      <c r="CL122" s="281">
        <f>CL123*1.7</f>
        <v>46.309975314498843</v>
      </c>
      <c r="CN122" s="276"/>
      <c r="CP122" s="309" t="s">
        <v>881</v>
      </c>
      <c r="CQ122" s="281" cm="1">
        <f t="array" ref="CQ122">1/($CS$8/INDEX(122:122, $CS$10) + (1-$CS$8)/INDEX(122:122, $CS$11))</f>
        <v>46.689860847709639</v>
      </c>
      <c r="CS122" s="276"/>
      <c r="CU122" s="309" t="s">
        <v>881</v>
      </c>
      <c r="CV122" s="281">
        <f>CV123*1.7</f>
        <v>29.935703091117002</v>
      </c>
      <c r="CX122" s="276"/>
      <c r="CZ122" s="309" t="s">
        <v>881</v>
      </c>
      <c r="DA122" s="281">
        <f>DA123*1.7</f>
        <v>42.404200326692859</v>
      </c>
      <c r="DC122" s="276"/>
    </row>
    <row r="123" spans="1:107" x14ac:dyDescent="0.15">
      <c r="A123" s="272"/>
      <c r="B123" s="357" t="s">
        <v>882</v>
      </c>
      <c r="C123" s="573">
        <f t="shared" ref="C123:C132" si="4">IF(AND(D123="",F123=""),"",IF(F123="",D123+E123,F123))</f>
        <v>20.956602523550849</v>
      </c>
      <c r="D123" s="568" cm="1">
        <f t="array" ref="D123">IF(INDEX(123:123,$F$2)="","", INDEX(123:123, $F$2))</f>
        <v>20.956602523550849</v>
      </c>
      <c r="E123" s="1107">
        <f>Lists!O177</f>
        <v>0</v>
      </c>
      <c r="F123" s="1084"/>
      <c r="G123" s="590"/>
      <c r="M123" s="309" t="s">
        <v>883</v>
      </c>
      <c r="N123" s="281">
        <f>N124*1.5</f>
        <v>20.877955221173536</v>
      </c>
      <c r="O123" s="258"/>
      <c r="P123" s="276"/>
      <c r="R123" s="309" t="s">
        <v>883</v>
      </c>
      <c r="S123" s="281">
        <f>S124*1.5</f>
        <v>27.601899963045391</v>
      </c>
      <c r="T123" s="258"/>
      <c r="U123" s="276"/>
      <c r="W123" s="309" t="s">
        <v>883</v>
      </c>
      <c r="X123" s="281">
        <f>X124*1.5</f>
        <v>20.956602523550849</v>
      </c>
      <c r="Z123" s="276"/>
      <c r="AB123" s="309" t="s">
        <v>883</v>
      </c>
      <c r="AC123" s="281">
        <f>AC124*1.5</f>
        <v>27.691782594333752</v>
      </c>
      <c r="AE123" s="276"/>
      <c r="AG123" s="309" t="s">
        <v>883</v>
      </c>
      <c r="AH123" s="281">
        <f>AH124*1.5</f>
        <v>20.975517697540333</v>
      </c>
      <c r="AJ123" s="276"/>
      <c r="AL123" s="309" t="s">
        <v>883</v>
      </c>
      <c r="AM123" s="281">
        <f>AM124*1.5</f>
        <v>27.713399936036012</v>
      </c>
      <c r="AO123" s="276"/>
      <c r="AQ123" s="309" t="s">
        <v>883</v>
      </c>
      <c r="AR123" s="281">
        <f>AR124*1.5</f>
        <v>21.088510973740647</v>
      </c>
      <c r="AT123" s="276"/>
      <c r="AV123" s="309" t="s">
        <v>883</v>
      </c>
      <c r="AW123" s="281">
        <f>AW124*1.5</f>
        <v>27.842535108836373</v>
      </c>
      <c r="AY123" s="276"/>
      <c r="BA123" s="309" t="s">
        <v>883</v>
      </c>
      <c r="BB123" s="281">
        <f>BB124*1.5</f>
        <v>21.17014488253735</v>
      </c>
      <c r="BD123" s="276"/>
      <c r="BF123" s="309" t="s">
        <v>883</v>
      </c>
      <c r="BG123" s="281">
        <f>BG124*1.5</f>
        <v>27.93583100460404</v>
      </c>
      <c r="BI123" s="276"/>
      <c r="BL123" s="309" t="s">
        <v>883</v>
      </c>
      <c r="BM123" s="281">
        <f>BM124*1.5</f>
        <v>21.05888041256188</v>
      </c>
      <c r="BO123" s="276"/>
      <c r="BQ123" s="309" t="s">
        <v>883</v>
      </c>
      <c r="BR123" s="281">
        <f>BR124*1.5</f>
        <v>27.808671610346359</v>
      </c>
      <c r="BT123" s="276"/>
      <c r="BV123" s="309" t="s">
        <v>883</v>
      </c>
      <c r="BW123" s="281">
        <f>BW124*1.5</f>
        <v>20.097617987604767</v>
      </c>
      <c r="BY123" s="276"/>
      <c r="CA123" s="309" t="s">
        <v>883</v>
      </c>
      <c r="CB123" s="281">
        <f>CB124*1.5</f>
        <v>26.710085981823941</v>
      </c>
      <c r="CD123" s="276"/>
      <c r="CF123" s="309" t="s">
        <v>883</v>
      </c>
      <c r="CG123" s="281">
        <f>CG124*1.5</f>
        <v>20.562309459500867</v>
      </c>
      <c r="CI123" s="276"/>
      <c r="CK123" s="309" t="s">
        <v>883</v>
      </c>
      <c r="CL123" s="281">
        <f>CL124*1.5</f>
        <v>27.241161949705202</v>
      </c>
      <c r="CN123" s="276"/>
      <c r="CP123" s="309" t="s">
        <v>883</v>
      </c>
      <c r="CQ123" s="281" cm="1">
        <f t="array" ref="CQ123">1/($CS$8/INDEX(123:123, $CS$10) + (1-$CS$8)/INDEX(123:123, $CS$11))</f>
        <v>27.464624028064495</v>
      </c>
      <c r="CS123" s="276"/>
      <c r="CU123" s="309" t="s">
        <v>883</v>
      </c>
      <c r="CV123" s="281">
        <f>CV124*1.5</f>
        <v>17.609237112421766</v>
      </c>
      <c r="CX123" s="276"/>
      <c r="CZ123" s="309" t="s">
        <v>883</v>
      </c>
      <c r="DA123" s="281">
        <f>DA124*1.5</f>
        <v>24.943647250995799</v>
      </c>
      <c r="DC123" s="276"/>
    </row>
    <row r="124" spans="1:107" x14ac:dyDescent="0.15">
      <c r="A124" s="272"/>
      <c r="B124" s="357" t="s">
        <v>884</v>
      </c>
      <c r="C124" s="573">
        <f t="shared" si="4"/>
        <v>13.971068349033899</v>
      </c>
      <c r="D124" s="568" cm="1">
        <f t="array" ref="D124">IF(INDEX(124:124,$F$2)="","", INDEX(124:124, $F$2))</f>
        <v>13.971068349033899</v>
      </c>
      <c r="E124" s="1107">
        <f>Lists!O178</f>
        <v>0</v>
      </c>
      <c r="F124" s="565"/>
      <c r="G124" s="590"/>
      <c r="M124" s="309" t="s">
        <v>885</v>
      </c>
      <c r="N124" s="543">
        <v>13.918636814115692</v>
      </c>
      <c r="O124" s="258"/>
      <c r="P124" s="276"/>
      <c r="R124" s="309" t="s">
        <v>885</v>
      </c>
      <c r="S124" s="543">
        <v>18.401266642030262</v>
      </c>
      <c r="T124" s="258"/>
      <c r="U124" s="276"/>
      <c r="W124" s="309" t="s">
        <v>885</v>
      </c>
      <c r="X124" s="543">
        <v>13.971068349033899</v>
      </c>
      <c r="Z124" s="276"/>
      <c r="AB124" s="309" t="s">
        <v>885</v>
      </c>
      <c r="AC124" s="543">
        <v>18.4611883962225</v>
      </c>
      <c r="AE124" s="276"/>
      <c r="AG124" s="309" t="s">
        <v>885</v>
      </c>
      <c r="AH124" s="543">
        <v>13.983678465026887</v>
      </c>
      <c r="AJ124" s="276"/>
      <c r="AL124" s="309" t="s">
        <v>885</v>
      </c>
      <c r="AM124" s="543">
        <v>18.475599957357343</v>
      </c>
      <c r="AO124" s="276"/>
      <c r="AQ124" s="309" t="s">
        <v>885</v>
      </c>
      <c r="AR124" s="543">
        <v>14.059007315827097</v>
      </c>
      <c r="AT124" s="276"/>
      <c r="AV124" s="309" t="s">
        <v>885</v>
      </c>
      <c r="AW124" s="543">
        <v>18.561690072557582</v>
      </c>
      <c r="AY124" s="276"/>
      <c r="BA124" s="309" t="s">
        <v>885</v>
      </c>
      <c r="BB124" s="543">
        <v>14.113429921691566</v>
      </c>
      <c r="BD124" s="276"/>
      <c r="BF124" s="309" t="s">
        <v>885</v>
      </c>
      <c r="BG124" s="543">
        <v>18.623887336402692</v>
      </c>
      <c r="BI124" s="276"/>
      <c r="BL124" s="309" t="s">
        <v>885</v>
      </c>
      <c r="BM124" s="543">
        <v>14.039253608374587</v>
      </c>
      <c r="BO124" s="276"/>
      <c r="BQ124" s="309" t="s">
        <v>885</v>
      </c>
      <c r="BR124" s="543">
        <v>18.539114406897571</v>
      </c>
      <c r="BT124" s="276"/>
      <c r="BV124" s="309" t="s">
        <v>885</v>
      </c>
      <c r="BW124" s="543">
        <v>13.398411991736511</v>
      </c>
      <c r="BY124" s="276"/>
      <c r="CA124" s="309" t="s">
        <v>885</v>
      </c>
      <c r="CB124" s="543">
        <v>17.806723987882627</v>
      </c>
      <c r="CD124" s="276"/>
      <c r="CF124" s="309" t="s">
        <v>885</v>
      </c>
      <c r="CG124" s="543">
        <v>13.708206306333912</v>
      </c>
      <c r="CI124" s="276"/>
      <c r="CK124" s="309" t="s">
        <v>885</v>
      </c>
      <c r="CL124" s="543">
        <v>18.1607746331368</v>
      </c>
      <c r="CN124" s="276"/>
      <c r="CP124" s="309" t="s">
        <v>885</v>
      </c>
      <c r="CQ124" s="281" cm="1">
        <f t="array" ref="CQ124">1/($CS$8/INDEX(124:124, $CS$10) + (1-$CS$8)/INDEX(124:124, $CS$11))</f>
        <v>18.309749352042996</v>
      </c>
      <c r="CS124" s="276"/>
      <c r="CU124" s="309" t="s">
        <v>885</v>
      </c>
      <c r="CV124" s="543">
        <v>11.739491408281177</v>
      </c>
      <c r="CX124" s="276"/>
      <c r="CZ124" s="309" t="s">
        <v>885</v>
      </c>
      <c r="DA124" s="543">
        <v>16.629098167330532</v>
      </c>
      <c r="DC124" s="276"/>
    </row>
    <row r="125" spans="1:107" x14ac:dyDescent="0.15">
      <c r="A125" s="272"/>
      <c r="B125" s="357" t="s">
        <v>886</v>
      </c>
      <c r="C125" s="573">
        <f t="shared" si="4"/>
        <v>12.3384704396516</v>
      </c>
      <c r="D125" s="568" cm="1">
        <f t="array" ref="D125">IF(INDEX(125:125,$F$2)="","", INDEX(125:125, $F$2))</f>
        <v>12.3384704396516</v>
      </c>
      <c r="E125" s="1107">
        <f>Lists!O179</f>
        <v>0</v>
      </c>
      <c r="F125" s="1083"/>
      <c r="G125" s="590"/>
      <c r="M125" s="309" t="s">
        <v>887</v>
      </c>
      <c r="N125" s="543">
        <v>12.286038904733392</v>
      </c>
      <c r="O125" s="258"/>
      <c r="P125" s="276"/>
      <c r="R125" s="309" t="s">
        <v>887</v>
      </c>
      <c r="S125" s="543">
        <v>15.869110758148761</v>
      </c>
      <c r="T125" s="258"/>
      <c r="U125" s="276"/>
      <c r="W125" s="309" t="s">
        <v>887</v>
      </c>
      <c r="X125" s="543">
        <v>12.3384704396516</v>
      </c>
      <c r="Z125" s="276"/>
      <c r="AB125" s="309" t="s">
        <v>887</v>
      </c>
      <c r="AC125" s="543">
        <v>15.929032512340999</v>
      </c>
      <c r="AE125" s="276"/>
      <c r="AG125" s="309" t="s">
        <v>887</v>
      </c>
      <c r="AH125" s="543">
        <v>12.351080555644586</v>
      </c>
      <c r="AJ125" s="276"/>
      <c r="AL125" s="309" t="s">
        <v>887</v>
      </c>
      <c r="AM125" s="543">
        <v>15.943444073475842</v>
      </c>
      <c r="AO125" s="276"/>
      <c r="AQ125" s="309" t="s">
        <v>887</v>
      </c>
      <c r="AR125" s="543">
        <v>12.426409406444797</v>
      </c>
      <c r="AT125" s="276"/>
      <c r="AV125" s="309" t="s">
        <v>887</v>
      </c>
      <c r="AW125" s="543">
        <v>16.029534188676081</v>
      </c>
      <c r="AY125" s="276"/>
      <c r="BA125" s="309" t="s">
        <v>887</v>
      </c>
      <c r="BB125" s="543">
        <v>12.480832012309268</v>
      </c>
      <c r="BD125" s="276"/>
      <c r="BF125" s="309" t="s">
        <v>887</v>
      </c>
      <c r="BG125" s="543">
        <v>16.091731452521191</v>
      </c>
      <c r="BI125" s="276"/>
      <c r="BL125" s="309" t="s">
        <v>887</v>
      </c>
      <c r="BM125" s="543">
        <v>12.406655698992287</v>
      </c>
      <c r="BO125" s="276"/>
      <c r="BQ125" s="309" t="s">
        <v>887</v>
      </c>
      <c r="BR125" s="543">
        <v>16.00695852301607</v>
      </c>
      <c r="BT125" s="276"/>
      <c r="BV125" s="309" t="s">
        <v>887</v>
      </c>
      <c r="BW125" s="543">
        <v>11.765814082354211</v>
      </c>
      <c r="BY125" s="276"/>
      <c r="CA125" s="309" t="s">
        <v>887</v>
      </c>
      <c r="CB125" s="543">
        <v>15.274568104001126</v>
      </c>
      <c r="CD125" s="276"/>
      <c r="CF125" s="309" t="s">
        <v>887</v>
      </c>
      <c r="CG125" s="543">
        <v>12.075608396951612</v>
      </c>
      <c r="CI125" s="276"/>
      <c r="CK125" s="309" t="s">
        <v>887</v>
      </c>
      <c r="CL125" s="543">
        <v>15.628618749255299</v>
      </c>
      <c r="CN125" s="276"/>
      <c r="CP125" s="309" t="s">
        <v>887</v>
      </c>
      <c r="CQ125" s="281" cm="1">
        <f t="array" ref="CQ125">1/($CS$8/INDEX(125:125, $CS$10) + (1-$CS$8)/INDEX(125:125, $CS$11))</f>
        <v>15.777395733048424</v>
      </c>
      <c r="CS125" s="276"/>
      <c r="CU125" s="309" t="s">
        <v>887</v>
      </c>
      <c r="CV125" s="543">
        <v>10.106893498898877</v>
      </c>
      <c r="CX125" s="276"/>
      <c r="CZ125" s="309" t="s">
        <v>887</v>
      </c>
      <c r="DA125" s="543">
        <v>14.09694228344903</v>
      </c>
      <c r="DC125" s="276"/>
    </row>
    <row r="126" spans="1:107" x14ac:dyDescent="0.15">
      <c r="A126" s="272"/>
      <c r="B126" s="357" t="s">
        <v>888</v>
      </c>
      <c r="C126" s="573">
        <f t="shared" si="4"/>
        <v>10.3465924882361</v>
      </c>
      <c r="D126" s="568" cm="1">
        <f t="array" ref="D126">IF(INDEX(126:126,$F$2)="","", INDEX(126:126, $F$2))</f>
        <v>10.3465924882361</v>
      </c>
      <c r="E126" s="1107">
        <f>Lists!O180</f>
        <v>0</v>
      </c>
      <c r="F126" s="1084"/>
      <c r="G126" s="590"/>
      <c r="M126" s="309" t="s">
        <v>889</v>
      </c>
      <c r="N126" s="543">
        <v>10.294160953317892</v>
      </c>
      <c r="O126" s="258"/>
      <c r="P126" s="276"/>
      <c r="R126" s="309" t="s">
        <v>889</v>
      </c>
      <c r="S126" s="543">
        <v>14.014282922705961</v>
      </c>
      <c r="T126" s="258"/>
      <c r="U126" s="276"/>
      <c r="W126" s="309" t="s">
        <v>889</v>
      </c>
      <c r="X126" s="543">
        <v>10.3465924882361</v>
      </c>
      <c r="Z126" s="276"/>
      <c r="AB126" s="309" t="s">
        <v>889</v>
      </c>
      <c r="AC126" s="543">
        <v>14.0742046768982</v>
      </c>
      <c r="AE126" s="276"/>
      <c r="AG126" s="309" t="s">
        <v>889</v>
      </c>
      <c r="AH126" s="543">
        <v>10.359202604229086</v>
      </c>
      <c r="AJ126" s="276"/>
      <c r="AL126" s="309" t="s">
        <v>889</v>
      </c>
      <c r="AM126" s="543">
        <v>14.088616238033042</v>
      </c>
      <c r="AO126" s="276"/>
      <c r="AQ126" s="309" t="s">
        <v>889</v>
      </c>
      <c r="AR126" s="543">
        <v>10.434531455029298</v>
      </c>
      <c r="AT126" s="276"/>
      <c r="AV126" s="309" t="s">
        <v>889</v>
      </c>
      <c r="AW126" s="543">
        <v>14.174706353233283</v>
      </c>
      <c r="AY126" s="276"/>
      <c r="BA126" s="309" t="s">
        <v>889</v>
      </c>
      <c r="BB126" s="543">
        <v>10.488954060893768</v>
      </c>
      <c r="BD126" s="276"/>
      <c r="BF126" s="309" t="s">
        <v>889</v>
      </c>
      <c r="BG126" s="543">
        <v>14.23690361707839</v>
      </c>
      <c r="BI126" s="276"/>
      <c r="BL126" s="309" t="s">
        <v>889</v>
      </c>
      <c r="BM126" s="543">
        <v>10.414777747576787</v>
      </c>
      <c r="BO126" s="276"/>
      <c r="BQ126" s="309" t="s">
        <v>889</v>
      </c>
      <c r="BR126" s="543">
        <v>14.152130687573269</v>
      </c>
      <c r="BT126" s="276"/>
      <c r="BV126" s="309" t="s">
        <v>889</v>
      </c>
      <c r="BW126" s="543">
        <v>9.7739361309387114</v>
      </c>
      <c r="BY126" s="276"/>
      <c r="CA126" s="309" t="s">
        <v>889</v>
      </c>
      <c r="CB126" s="543">
        <v>13.419740268558327</v>
      </c>
      <c r="CD126" s="276"/>
      <c r="CF126" s="309" t="s">
        <v>889</v>
      </c>
      <c r="CG126" s="543">
        <v>10.083730445536112</v>
      </c>
      <c r="CI126" s="276"/>
      <c r="CK126" s="309" t="s">
        <v>889</v>
      </c>
      <c r="CL126" s="543">
        <v>13.773790913812499</v>
      </c>
      <c r="CN126" s="276"/>
      <c r="CP126" s="309" t="s">
        <v>889</v>
      </c>
      <c r="CQ126" s="281" cm="1">
        <f t="array" ref="CQ126">1/($CS$8/INDEX(126:126, $CS$10) + (1-$CS$8)/INDEX(126:126, $CS$11))</f>
        <v>13.922377419684912</v>
      </c>
      <c r="CS126" s="276"/>
      <c r="CU126" s="309" t="s">
        <v>889</v>
      </c>
      <c r="CV126" s="543">
        <v>8.1150155474833774</v>
      </c>
      <c r="CX126" s="276"/>
      <c r="CZ126" s="309" t="s">
        <v>889</v>
      </c>
      <c r="DA126" s="543">
        <v>12.24211444800623</v>
      </c>
      <c r="DC126" s="276"/>
    </row>
    <row r="127" spans="1:107" x14ac:dyDescent="0.15">
      <c r="A127" s="272"/>
      <c r="B127" s="357" t="s">
        <v>890</v>
      </c>
      <c r="C127" s="573">
        <f t="shared" si="4"/>
        <v>10.3993464211744</v>
      </c>
      <c r="D127" s="568" cm="1">
        <f t="array" ref="D127">IF(INDEX(127:127,$F$2)="","", INDEX(127:127, $F$2))</f>
        <v>10.3993464211744</v>
      </c>
      <c r="E127" s="1107">
        <f>Lists!O181</f>
        <v>0</v>
      </c>
      <c r="F127" s="1084"/>
      <c r="G127" s="590"/>
      <c r="M127" s="309" t="s">
        <v>891</v>
      </c>
      <c r="N127" s="281">
        <v>10.346914886256192</v>
      </c>
      <c r="O127" s="258"/>
      <c r="P127" s="276"/>
      <c r="R127" s="309" t="s">
        <v>891</v>
      </c>
      <c r="S127" s="281">
        <v>14.431271541530261</v>
      </c>
      <c r="T127" s="258"/>
      <c r="U127" s="276"/>
      <c r="W127" s="309" t="s">
        <v>891</v>
      </c>
      <c r="X127" s="281">
        <v>10.3993464211744</v>
      </c>
      <c r="Z127" s="276"/>
      <c r="AB127" s="309" t="s">
        <v>891</v>
      </c>
      <c r="AC127" s="281">
        <v>14.4911932957225</v>
      </c>
      <c r="AE127" s="276"/>
      <c r="AG127" s="309" t="s">
        <v>891</v>
      </c>
      <c r="AH127" s="281">
        <v>10.411956537167388</v>
      </c>
      <c r="AJ127" s="276"/>
      <c r="AL127" s="309" t="s">
        <v>891</v>
      </c>
      <c r="AM127" s="281">
        <v>14.505604856857342</v>
      </c>
      <c r="AO127" s="276"/>
      <c r="AQ127" s="309" t="s">
        <v>891</v>
      </c>
      <c r="AR127" s="281">
        <v>10.487285387967598</v>
      </c>
      <c r="AT127" s="276"/>
      <c r="AV127" s="309" t="s">
        <v>891</v>
      </c>
      <c r="AW127" s="281">
        <v>14.591694972057583</v>
      </c>
      <c r="AY127" s="276"/>
      <c r="BA127" s="309" t="s">
        <v>891</v>
      </c>
      <c r="BB127" s="281">
        <v>10.541707993832066</v>
      </c>
      <c r="BD127" s="276"/>
      <c r="BF127" s="309" t="s">
        <v>891</v>
      </c>
      <c r="BG127" s="281">
        <v>14.65389223590269</v>
      </c>
      <c r="BI127" s="276"/>
      <c r="BL127" s="309" t="s">
        <v>891</v>
      </c>
      <c r="BM127" s="281">
        <v>10.467531680515087</v>
      </c>
      <c r="BO127" s="276"/>
      <c r="BQ127" s="309" t="s">
        <v>891</v>
      </c>
      <c r="BR127" s="281">
        <v>14.569119306397569</v>
      </c>
      <c r="BT127" s="276"/>
      <c r="BV127" s="309" t="s">
        <v>891</v>
      </c>
      <c r="BW127" s="281">
        <v>9.8266900638770114</v>
      </c>
      <c r="BY127" s="276"/>
      <c r="CA127" s="309" t="s">
        <v>891</v>
      </c>
      <c r="CB127" s="281">
        <v>13.836728887382627</v>
      </c>
      <c r="CD127" s="276"/>
      <c r="CF127" s="309" t="s">
        <v>891</v>
      </c>
      <c r="CG127" s="281">
        <v>10.136484378474412</v>
      </c>
      <c r="CI127" s="276"/>
      <c r="CK127" s="309" t="s">
        <v>891</v>
      </c>
      <c r="CL127" s="281">
        <v>14.1907795326368</v>
      </c>
      <c r="CN127" s="276"/>
      <c r="CP127" s="309" t="s">
        <v>891</v>
      </c>
      <c r="CQ127" s="281" cm="1">
        <f t="array" ref="CQ127">1/($CS$8/INDEX(127:127, $CS$10) + (1-$CS$8)/INDEX(127:127, $CS$11))</f>
        <v>14.339413153693153</v>
      </c>
      <c r="CS127" s="276"/>
      <c r="CU127" s="309" t="s">
        <v>891</v>
      </c>
      <c r="CV127" s="281">
        <v>8.1677694804216774</v>
      </c>
      <c r="CX127" s="276"/>
      <c r="CZ127" s="309" t="s">
        <v>891</v>
      </c>
      <c r="DA127" s="281">
        <v>12.65910306683053</v>
      </c>
      <c r="DC127" s="276"/>
    </row>
    <row r="128" spans="1:107" x14ac:dyDescent="0.15">
      <c r="A128" s="272"/>
      <c r="B128" s="357" t="s">
        <v>892</v>
      </c>
      <c r="C128" s="573">
        <f t="shared" si="4"/>
        <v>11.9023491419076</v>
      </c>
      <c r="D128" s="568" cm="1">
        <f t="array" ref="D128">IF(INDEX(128:128,$F$2)="","", INDEX(128:128, $F$2))</f>
        <v>11.9023491419076</v>
      </c>
      <c r="E128" s="1107">
        <f>Lists!O182</f>
        <v>0</v>
      </c>
      <c r="F128" s="1084"/>
      <c r="G128" s="590"/>
      <c r="M128" s="309" t="s">
        <v>893</v>
      </c>
      <c r="N128" s="543">
        <v>11.849917606989392</v>
      </c>
      <c r="O128" s="258"/>
      <c r="P128" s="276"/>
      <c r="R128" s="309" t="s">
        <v>893</v>
      </c>
      <c r="S128" s="543">
        <v>14.693758613028562</v>
      </c>
      <c r="T128" s="258"/>
      <c r="U128" s="276"/>
      <c r="W128" s="309" t="s">
        <v>893</v>
      </c>
      <c r="X128" s="543">
        <v>11.9023491419076</v>
      </c>
      <c r="Z128" s="276"/>
      <c r="AB128" s="309" t="s">
        <v>893</v>
      </c>
      <c r="AC128" s="543">
        <v>14.753680367220801</v>
      </c>
      <c r="AE128" s="276"/>
      <c r="AG128" s="309" t="s">
        <v>893</v>
      </c>
      <c r="AH128" s="543">
        <v>11.914959257900588</v>
      </c>
      <c r="AJ128" s="276"/>
      <c r="AL128" s="309" t="s">
        <v>893</v>
      </c>
      <c r="AM128" s="543">
        <v>14.768091928355643</v>
      </c>
      <c r="AO128" s="276"/>
      <c r="AQ128" s="309" t="s">
        <v>893</v>
      </c>
      <c r="AR128" s="543">
        <v>11.990288108700797</v>
      </c>
      <c r="AT128" s="276"/>
      <c r="AV128" s="309" t="s">
        <v>893</v>
      </c>
      <c r="AW128" s="543">
        <v>14.854182043555884</v>
      </c>
      <c r="AY128" s="276"/>
      <c r="BA128" s="309" t="s">
        <v>893</v>
      </c>
      <c r="BB128" s="543">
        <v>12.044710714565266</v>
      </c>
      <c r="BD128" s="276"/>
      <c r="BF128" s="309" t="s">
        <v>893</v>
      </c>
      <c r="BG128" s="543">
        <v>14.916379307400991</v>
      </c>
      <c r="BI128" s="276"/>
      <c r="BL128" s="309" t="s">
        <v>893</v>
      </c>
      <c r="BM128" s="543">
        <v>11.970534401248287</v>
      </c>
      <c r="BO128" s="276"/>
      <c r="BQ128" s="309" t="s">
        <v>893</v>
      </c>
      <c r="BR128" s="543">
        <v>14.83160637789587</v>
      </c>
      <c r="BT128" s="276"/>
      <c r="BV128" s="309" t="s">
        <v>893</v>
      </c>
      <c r="BW128" s="543">
        <v>11.329692784610211</v>
      </c>
      <c r="BY128" s="276"/>
      <c r="CA128" s="309" t="s">
        <v>893</v>
      </c>
      <c r="CB128" s="543">
        <v>14.099215958880928</v>
      </c>
      <c r="CD128" s="276"/>
      <c r="CF128" s="309" t="s">
        <v>893</v>
      </c>
      <c r="CG128" s="543">
        <v>11.639487099207612</v>
      </c>
      <c r="CI128" s="276"/>
      <c r="CK128" s="309" t="s">
        <v>893</v>
      </c>
      <c r="CL128" s="543">
        <v>14.4532666041351</v>
      </c>
      <c r="CN128" s="276"/>
      <c r="CP128" s="309" t="s">
        <v>893</v>
      </c>
      <c r="CQ128" s="281" cm="1">
        <f t="array" ref="CQ128">1/($CS$8/INDEX(128:128, $CS$10) + (1-$CS$8)/INDEX(128:128, $CS$11))</f>
        <v>14.60192850343212</v>
      </c>
      <c r="CS128" s="276"/>
      <c r="CU128" s="309" t="s">
        <v>893</v>
      </c>
      <c r="CV128" s="543">
        <v>9.6707722011548771</v>
      </c>
      <c r="CX128" s="276"/>
      <c r="CZ128" s="309" t="s">
        <v>893</v>
      </c>
      <c r="DA128" s="543">
        <v>12.921590138328831</v>
      </c>
      <c r="DC128" s="276"/>
    </row>
    <row r="129" spans="1:107" x14ac:dyDescent="0.15">
      <c r="A129" s="272"/>
      <c r="B129" s="357" t="s">
        <v>894</v>
      </c>
      <c r="C129" s="573">
        <f t="shared" si="4"/>
        <v>12.103109330835499</v>
      </c>
      <c r="D129" s="568" cm="1">
        <f t="array" ref="D129">IF(INDEX(129:129,$F$2)="","", INDEX(129:129, $F$2))</f>
        <v>12.103109330835499</v>
      </c>
      <c r="E129" s="1107">
        <f>Lists!O183</f>
        <v>0</v>
      </c>
      <c r="F129" s="1084"/>
      <c r="G129" s="590"/>
      <c r="M129" s="309" t="s">
        <v>895</v>
      </c>
      <c r="N129" s="543">
        <v>12.050677795917291</v>
      </c>
      <c r="O129" s="258"/>
      <c r="P129" s="276"/>
      <c r="R129" s="309" t="s">
        <v>895</v>
      </c>
      <c r="S129" s="543">
        <v>15.173823408381761</v>
      </c>
      <c r="T129" s="258"/>
      <c r="U129" s="276"/>
      <c r="W129" s="309" t="s">
        <v>895</v>
      </c>
      <c r="X129" s="543">
        <v>12.103109330835499</v>
      </c>
      <c r="Z129" s="276"/>
      <c r="AB129" s="309" t="s">
        <v>895</v>
      </c>
      <c r="AC129" s="543">
        <v>15.233745162573999</v>
      </c>
      <c r="AE129" s="276"/>
      <c r="AG129" s="309" t="s">
        <v>895</v>
      </c>
      <c r="AH129" s="543">
        <v>12.115719446828486</v>
      </c>
      <c r="AJ129" s="276"/>
      <c r="AL129" s="309" t="s">
        <v>895</v>
      </c>
      <c r="AM129" s="543">
        <v>15.248156723708842</v>
      </c>
      <c r="AO129" s="276"/>
      <c r="AQ129" s="309" t="s">
        <v>895</v>
      </c>
      <c r="AR129" s="543">
        <v>12.191048297628697</v>
      </c>
      <c r="AT129" s="276"/>
      <c r="AV129" s="309" t="s">
        <v>895</v>
      </c>
      <c r="AW129" s="543">
        <v>15.334246838909083</v>
      </c>
      <c r="AY129" s="276"/>
      <c r="BA129" s="309" t="s">
        <v>895</v>
      </c>
      <c r="BB129" s="543">
        <v>12.245470903493167</v>
      </c>
      <c r="BD129" s="276"/>
      <c r="BF129" s="309" t="s">
        <v>895</v>
      </c>
      <c r="BG129" s="543">
        <v>15.39644410275419</v>
      </c>
      <c r="BI129" s="276"/>
      <c r="BL129" s="309" t="s">
        <v>895</v>
      </c>
      <c r="BM129" s="543">
        <v>12.171294590176187</v>
      </c>
      <c r="BO129" s="276"/>
      <c r="BQ129" s="309" t="s">
        <v>895</v>
      </c>
      <c r="BR129" s="543">
        <v>15.311671173249069</v>
      </c>
      <c r="BT129" s="276"/>
      <c r="BV129" s="309" t="s">
        <v>895</v>
      </c>
      <c r="BW129" s="543">
        <v>11.530452973538111</v>
      </c>
      <c r="BY129" s="276"/>
      <c r="CA129" s="309" t="s">
        <v>895</v>
      </c>
      <c r="CB129" s="543">
        <v>14.579280754234127</v>
      </c>
      <c r="CD129" s="276"/>
      <c r="CF129" s="309" t="s">
        <v>895</v>
      </c>
      <c r="CG129" s="543">
        <v>11.840247288135512</v>
      </c>
      <c r="CI129" s="276"/>
      <c r="CK129" s="309" t="s">
        <v>895</v>
      </c>
      <c r="CL129" s="543">
        <v>14.933331399488299</v>
      </c>
      <c r="CN129" s="276"/>
      <c r="CP129" s="309" t="s">
        <v>895</v>
      </c>
      <c r="CQ129" s="281" cm="1">
        <f t="array" ref="CQ129">1/($CS$8/INDEX(129:129, $CS$10) + (1-$CS$8)/INDEX(129:129, $CS$11))</f>
        <v>15.082042471039991</v>
      </c>
      <c r="CS129" s="276"/>
      <c r="CU129" s="309" t="s">
        <v>895</v>
      </c>
      <c r="CV129" s="543">
        <v>9.8715323900827769</v>
      </c>
      <c r="CX129" s="276"/>
      <c r="CZ129" s="309" t="s">
        <v>895</v>
      </c>
      <c r="DA129" s="543">
        <v>13.40165493368203</v>
      </c>
      <c r="DC129" s="276"/>
    </row>
    <row r="130" spans="1:107" x14ac:dyDescent="0.15">
      <c r="A130" s="272"/>
      <c r="B130" s="357" t="s">
        <v>896</v>
      </c>
      <c r="C130" s="573">
        <f t="shared" si="4"/>
        <v>12.25</v>
      </c>
      <c r="D130" s="568" cm="1">
        <f t="array" ref="D130">IF(INDEX(130:130,$F$2)="","", INDEX(130:130, $F$2))</f>
        <v>12.25</v>
      </c>
      <c r="E130" s="1107">
        <f>Lists!O184</f>
        <v>0</v>
      </c>
      <c r="F130" s="1084"/>
      <c r="G130" s="590"/>
      <c r="M130" s="309" t="s">
        <v>897</v>
      </c>
      <c r="N130" s="543">
        <v>12.197568465081792</v>
      </c>
      <c r="O130" s="258"/>
      <c r="P130" s="276"/>
      <c r="R130" s="309" t="s">
        <v>897</v>
      </c>
      <c r="S130" s="543">
        <v>15.304306853097861</v>
      </c>
      <c r="T130" s="258"/>
      <c r="U130" s="276"/>
      <c r="W130" s="309" t="s">
        <v>897</v>
      </c>
      <c r="X130" s="543">
        <v>12.25</v>
      </c>
      <c r="Z130" s="276"/>
      <c r="AB130" s="309" t="s">
        <v>897</v>
      </c>
      <c r="AC130" s="543">
        <v>15.3642286072901</v>
      </c>
      <c r="AE130" s="276"/>
      <c r="AG130" s="309" t="s">
        <v>897</v>
      </c>
      <c r="AH130" s="543">
        <v>12.262610115992988</v>
      </c>
      <c r="AJ130" s="276"/>
      <c r="AL130" s="309" t="s">
        <v>897</v>
      </c>
      <c r="AM130" s="543">
        <v>15.378640168424942</v>
      </c>
      <c r="AO130" s="276"/>
      <c r="AQ130" s="309" t="s">
        <v>897</v>
      </c>
      <c r="AR130" s="543">
        <v>12.337938966793198</v>
      </c>
      <c r="AT130" s="276"/>
      <c r="AV130" s="309" t="s">
        <v>897</v>
      </c>
      <c r="AW130" s="543">
        <v>15.464730283625183</v>
      </c>
      <c r="AY130" s="276"/>
      <c r="BA130" s="309" t="s">
        <v>897</v>
      </c>
      <c r="BB130" s="543">
        <v>12.392361572657666</v>
      </c>
      <c r="BD130" s="276"/>
      <c r="BF130" s="309" t="s">
        <v>897</v>
      </c>
      <c r="BG130" s="543">
        <v>15.52692754747029</v>
      </c>
      <c r="BI130" s="276"/>
      <c r="BL130" s="309" t="s">
        <v>897</v>
      </c>
      <c r="BM130" s="543">
        <v>12.318185259340687</v>
      </c>
      <c r="BO130" s="276"/>
      <c r="BQ130" s="309" t="s">
        <v>897</v>
      </c>
      <c r="BR130" s="543">
        <v>15.442154617965169</v>
      </c>
      <c r="BT130" s="276"/>
      <c r="BV130" s="309" t="s">
        <v>897</v>
      </c>
      <c r="BW130" s="543">
        <v>11.677343642702612</v>
      </c>
      <c r="BY130" s="276"/>
      <c r="CA130" s="309" t="s">
        <v>897</v>
      </c>
      <c r="CB130" s="543">
        <v>14.709764198950227</v>
      </c>
      <c r="CD130" s="276"/>
      <c r="CF130" s="309" t="s">
        <v>897</v>
      </c>
      <c r="CG130" s="543">
        <v>11.987137957300012</v>
      </c>
      <c r="CI130" s="276"/>
      <c r="CK130" s="309" t="s">
        <v>897</v>
      </c>
      <c r="CL130" s="543">
        <v>15.0638148442044</v>
      </c>
      <c r="CN130" s="276"/>
      <c r="CP130" s="309" t="s">
        <v>897</v>
      </c>
      <c r="CQ130" s="281" cm="1">
        <f t="array" ref="CQ130">1/($CS$8/INDEX(130:130, $CS$10) + (1-$CS$8)/INDEX(130:130, $CS$11))</f>
        <v>15.212538744608564</v>
      </c>
      <c r="CS130" s="276"/>
      <c r="CU130" s="309" t="s">
        <v>897</v>
      </c>
      <c r="CV130" s="543">
        <v>10.018423059247278</v>
      </c>
      <c r="CX130" s="276"/>
      <c r="CZ130" s="309" t="s">
        <v>897</v>
      </c>
      <c r="DA130" s="543">
        <v>13.53213837839813</v>
      </c>
      <c r="DC130" s="276"/>
    </row>
    <row r="131" spans="1:107" x14ac:dyDescent="0.15">
      <c r="A131" s="272"/>
      <c r="B131" s="357" t="s">
        <v>898</v>
      </c>
      <c r="C131" s="573">
        <f t="shared" si="4"/>
        <v>12.379084750086999</v>
      </c>
      <c r="D131" s="568" cm="1">
        <f t="array" ref="D131">IF(INDEX(131:131,$F$2)="","", INDEX(131:131, $F$2))</f>
        <v>12.379084750086999</v>
      </c>
      <c r="E131" s="1107">
        <f>Lists!O185</f>
        <v>0</v>
      </c>
      <c r="F131" s="1084"/>
      <c r="G131" s="590"/>
      <c r="M131" s="309" t="s">
        <v>899</v>
      </c>
      <c r="N131" s="543">
        <v>12.326653215168792</v>
      </c>
      <c r="O131" s="258"/>
      <c r="P131" s="276"/>
      <c r="R131" s="309" t="s">
        <v>899</v>
      </c>
      <c r="S131" s="543">
        <v>15.753498990946962</v>
      </c>
      <c r="T131" s="258"/>
      <c r="U131" s="276"/>
      <c r="W131" s="309" t="s">
        <v>899</v>
      </c>
      <c r="X131" s="543">
        <v>12.379084750086999</v>
      </c>
      <c r="Z131" s="276"/>
      <c r="AB131" s="309" t="s">
        <v>899</v>
      </c>
      <c r="AC131" s="543">
        <v>15.813420745139201</v>
      </c>
      <c r="AE131" s="276"/>
      <c r="AG131" s="309" t="s">
        <v>899</v>
      </c>
      <c r="AH131" s="543">
        <v>12.391694866079987</v>
      </c>
      <c r="AJ131" s="276"/>
      <c r="AL131" s="309" t="s">
        <v>899</v>
      </c>
      <c r="AM131" s="543">
        <v>15.827832306274043</v>
      </c>
      <c r="AO131" s="276"/>
      <c r="AQ131" s="309" t="s">
        <v>899</v>
      </c>
      <c r="AR131" s="543">
        <v>12.467023716880197</v>
      </c>
      <c r="AT131" s="276"/>
      <c r="AV131" s="309" t="s">
        <v>899</v>
      </c>
      <c r="AW131" s="543">
        <v>15.913922421474284</v>
      </c>
      <c r="AY131" s="276"/>
      <c r="BA131" s="309" t="s">
        <v>899</v>
      </c>
      <c r="BB131" s="543">
        <v>12.521446322744666</v>
      </c>
      <c r="BD131" s="276"/>
      <c r="BF131" s="309" t="s">
        <v>899</v>
      </c>
      <c r="BG131" s="543">
        <v>15.976119685319391</v>
      </c>
      <c r="BI131" s="276"/>
      <c r="BL131" s="309" t="s">
        <v>899</v>
      </c>
      <c r="BM131" s="543">
        <v>12.447270009427687</v>
      </c>
      <c r="BO131" s="276"/>
      <c r="BQ131" s="309" t="s">
        <v>899</v>
      </c>
      <c r="BR131" s="543">
        <v>15.89134675581427</v>
      </c>
      <c r="BT131" s="276"/>
      <c r="BV131" s="309" t="s">
        <v>899</v>
      </c>
      <c r="BW131" s="543">
        <v>11.806428392789611</v>
      </c>
      <c r="BY131" s="276"/>
      <c r="CA131" s="309" t="s">
        <v>899</v>
      </c>
      <c r="CB131" s="543">
        <v>15.158956336799328</v>
      </c>
      <c r="CD131" s="276"/>
      <c r="CF131" s="309" t="s">
        <v>899</v>
      </c>
      <c r="CG131" s="543">
        <v>12.116222707387012</v>
      </c>
      <c r="CI131" s="276"/>
      <c r="CK131" s="309" t="s">
        <v>899</v>
      </c>
      <c r="CL131" s="543">
        <v>15.513006982053501</v>
      </c>
      <c r="CN131" s="276"/>
      <c r="CP131" s="309" t="s">
        <v>899</v>
      </c>
      <c r="CQ131" s="281" cm="1">
        <f t="array" ref="CQ131">1/($CS$8/INDEX(131:131, $CS$10) + (1-$CS$8)/INDEX(131:131, $CS$11))</f>
        <v>15.661773411626575</v>
      </c>
      <c r="CS131" s="276"/>
      <c r="CU131" s="309" t="s">
        <v>899</v>
      </c>
      <c r="CV131" s="543">
        <v>10.147507809334277</v>
      </c>
      <c r="CX131" s="276"/>
      <c r="CZ131" s="309" t="s">
        <v>899</v>
      </c>
      <c r="DA131" s="543">
        <v>13.981330516247231</v>
      </c>
      <c r="DC131" s="276"/>
    </row>
    <row r="132" spans="1:107" x14ac:dyDescent="0.15">
      <c r="A132" s="272"/>
      <c r="B132" s="357" t="s">
        <v>900</v>
      </c>
      <c r="C132" s="573">
        <f t="shared" si="4"/>
        <v>12.99803898759135</v>
      </c>
      <c r="D132" s="568" cm="1">
        <f t="array" ref="D132">IF(INDEX(132:132,$F$2)="","", INDEX(132:132, $F$2))</f>
        <v>12.99803898759135</v>
      </c>
      <c r="E132" s="1107">
        <f>Lists!O186</f>
        <v>0</v>
      </c>
      <c r="F132" s="1084"/>
      <c r="G132" s="590"/>
      <c r="M132" s="309" t="s">
        <v>901</v>
      </c>
      <c r="N132" s="281">
        <f>N131*1.05</f>
        <v>12.942985875927231</v>
      </c>
      <c r="O132" s="258"/>
      <c r="P132" s="276"/>
      <c r="R132" s="309" t="s">
        <v>901</v>
      </c>
      <c r="S132" s="281">
        <f>S131*1.05</f>
        <v>16.541173940494311</v>
      </c>
      <c r="T132" s="258"/>
      <c r="U132" s="276"/>
      <c r="W132" s="309" t="s">
        <v>901</v>
      </c>
      <c r="X132" s="281">
        <f>X131*1.05</f>
        <v>12.99803898759135</v>
      </c>
      <c r="Z132" s="276"/>
      <c r="AB132" s="309" t="s">
        <v>901</v>
      </c>
      <c r="AC132" s="281">
        <f>AC131*1.05</f>
        <v>16.604091782396161</v>
      </c>
      <c r="AE132" s="276"/>
      <c r="AG132" s="309" t="s">
        <v>901</v>
      </c>
      <c r="AH132" s="281">
        <f>AH131*1.05</f>
        <v>13.011279609383987</v>
      </c>
      <c r="AJ132" s="276"/>
      <c r="AL132" s="309" t="s">
        <v>901</v>
      </c>
      <c r="AM132" s="281">
        <f>AM131*1.05</f>
        <v>16.619223921587746</v>
      </c>
      <c r="AO132" s="276"/>
      <c r="AQ132" s="309" t="s">
        <v>901</v>
      </c>
      <c r="AR132" s="281">
        <f>AR131*1.05</f>
        <v>13.090374902724207</v>
      </c>
      <c r="AT132" s="276"/>
      <c r="AV132" s="309" t="s">
        <v>901</v>
      </c>
      <c r="AW132" s="281">
        <f>AW131*1.05</f>
        <v>16.709618542548</v>
      </c>
      <c r="AY132" s="276"/>
      <c r="BA132" s="309" t="s">
        <v>901</v>
      </c>
      <c r="BB132" s="281">
        <f>BB131*1.05</f>
        <v>13.1475186388819</v>
      </c>
      <c r="BD132" s="276"/>
      <c r="BF132" s="309" t="s">
        <v>901</v>
      </c>
      <c r="BG132" s="281">
        <f>BG131*1.05</f>
        <v>16.774925669585361</v>
      </c>
      <c r="BI132" s="276"/>
      <c r="BL132" s="309" t="s">
        <v>901</v>
      </c>
      <c r="BM132" s="281">
        <f>BM131*1.05</f>
        <v>13.069633509899072</v>
      </c>
      <c r="BO132" s="276"/>
      <c r="BQ132" s="309" t="s">
        <v>901</v>
      </c>
      <c r="BR132" s="281">
        <f>BR131*1.05</f>
        <v>16.685914093604985</v>
      </c>
      <c r="BT132" s="276"/>
      <c r="BV132" s="309" t="s">
        <v>901</v>
      </c>
      <c r="BW132" s="281">
        <f>BW131*1.05</f>
        <v>12.396749812429093</v>
      </c>
      <c r="BY132" s="276"/>
      <c r="CA132" s="309" t="s">
        <v>901</v>
      </c>
      <c r="CB132" s="281">
        <f>CB131*1.05</f>
        <v>15.916904153639296</v>
      </c>
      <c r="CD132" s="276"/>
      <c r="CF132" s="309" t="s">
        <v>901</v>
      </c>
      <c r="CG132" s="281">
        <f>CG131*1.05</f>
        <v>12.722033842756362</v>
      </c>
      <c r="CI132" s="276"/>
      <c r="CK132" s="309" t="s">
        <v>901</v>
      </c>
      <c r="CL132" s="281">
        <f>CL131*1.05</f>
        <v>16.288657331156177</v>
      </c>
      <c r="CN132" s="276"/>
      <c r="CP132" s="309" t="s">
        <v>901</v>
      </c>
      <c r="CQ132" s="281" cm="1">
        <f t="array" ref="CQ132">1/($CS$8/INDEX(132:132, $CS$10) + (1-$CS$8)/INDEX(132:132, $CS$11))</f>
        <v>16.444862082207905</v>
      </c>
      <c r="CS132" s="276"/>
      <c r="CU132" s="309" t="s">
        <v>901</v>
      </c>
      <c r="CV132" s="281">
        <f>CV131*1.05</f>
        <v>10.654883199800992</v>
      </c>
      <c r="CX132" s="276"/>
      <c r="CZ132" s="309" t="s">
        <v>901</v>
      </c>
      <c r="DA132" s="281">
        <f>DA131*1.05</f>
        <v>14.680397042059594</v>
      </c>
      <c r="DC132" s="276"/>
    </row>
    <row r="133" spans="1:107" x14ac:dyDescent="0.15">
      <c r="A133" s="272"/>
      <c r="B133" s="357"/>
      <c r="C133" s="573"/>
      <c r="D133" s="568"/>
      <c r="E133" s="568"/>
      <c r="F133" s="565"/>
      <c r="G133" s="590"/>
      <c r="M133" s="309"/>
      <c r="N133" s="258"/>
      <c r="O133" s="258"/>
      <c r="P133" s="276"/>
      <c r="R133" s="309"/>
      <c r="S133" s="258"/>
      <c r="T133" s="258"/>
      <c r="U133" s="276"/>
      <c r="W133" s="309"/>
      <c r="X133" s="543"/>
      <c r="Z133" s="276"/>
      <c r="AB133" s="309"/>
      <c r="AC133" s="543"/>
      <c r="AE133" s="276"/>
      <c r="AG133" s="309"/>
      <c r="AJ133" s="276"/>
      <c r="AL133" s="309"/>
      <c r="AO133" s="276"/>
      <c r="AQ133" s="309"/>
      <c r="AT133" s="276"/>
      <c r="AV133" s="309"/>
      <c r="AY133" s="276"/>
      <c r="BA133" s="309"/>
      <c r="BD133" s="276"/>
      <c r="BF133" s="309"/>
      <c r="BI133" s="276"/>
      <c r="BL133" s="309"/>
      <c r="BO133" s="276"/>
      <c r="BQ133" s="309"/>
      <c r="BT133" s="276"/>
      <c r="BV133" s="309"/>
      <c r="BY133" s="276"/>
      <c r="CA133" s="309"/>
      <c r="CD133" s="276"/>
      <c r="CF133" s="309"/>
      <c r="CI133" s="276"/>
      <c r="CK133" s="309"/>
      <c r="CN133" s="276"/>
      <c r="CP133" s="309"/>
      <c r="CS133" s="276"/>
      <c r="CU133" s="309"/>
      <c r="CX133" s="276"/>
      <c r="CZ133" s="309"/>
      <c r="DC133" s="276"/>
    </row>
    <row r="134" spans="1:107" ht="16" x14ac:dyDescent="0.2">
      <c r="A134" s="272"/>
      <c r="B134" s="475" t="s">
        <v>902</v>
      </c>
      <c r="C134" s="573" t="str">
        <f>IF(AND(D134="",F134=""),"",IF(F134="",D134,F134))</f>
        <v/>
      </c>
      <c r="D134" s="568" t="str" cm="1">
        <f t="array" ref="D134">IF(INDEX(134:134,$F$2)="","", INDEX(134:134, $F$2))</f>
        <v/>
      </c>
      <c r="E134" s="568"/>
      <c r="F134" s="565"/>
      <c r="G134" s="590"/>
      <c r="M134" s="606" t="s">
        <v>903</v>
      </c>
      <c r="N134" s="258"/>
      <c r="O134" s="258"/>
      <c r="P134" s="276"/>
      <c r="R134" s="606" t="s">
        <v>903</v>
      </c>
      <c r="S134" s="258"/>
      <c r="T134" s="258"/>
      <c r="U134" s="276"/>
      <c r="W134" s="606" t="s">
        <v>903</v>
      </c>
      <c r="Z134" s="276"/>
      <c r="AB134" s="606" t="s">
        <v>903</v>
      </c>
      <c r="AE134" s="276"/>
      <c r="AG134" s="606" t="s">
        <v>903</v>
      </c>
      <c r="AJ134" s="276"/>
      <c r="AL134" s="606" t="s">
        <v>903</v>
      </c>
      <c r="AO134" s="276"/>
      <c r="AQ134" s="606" t="s">
        <v>903</v>
      </c>
      <c r="AT134" s="276"/>
      <c r="AV134" s="606" t="s">
        <v>903</v>
      </c>
      <c r="AY134" s="276"/>
      <c r="BA134" s="606" t="s">
        <v>903</v>
      </c>
      <c r="BD134" s="276"/>
      <c r="BF134" s="606" t="s">
        <v>903</v>
      </c>
      <c r="BI134" s="276"/>
      <c r="BL134" s="606" t="s">
        <v>903</v>
      </c>
      <c r="BO134" s="276"/>
      <c r="BQ134" s="606" t="s">
        <v>903</v>
      </c>
      <c r="BT134" s="276"/>
      <c r="BV134" s="606" t="s">
        <v>903</v>
      </c>
      <c r="BY134" s="276"/>
      <c r="CA134" s="606" t="s">
        <v>903</v>
      </c>
      <c r="CD134" s="276"/>
      <c r="CF134" s="606" t="s">
        <v>903</v>
      </c>
      <c r="CI134" s="276"/>
      <c r="CK134" s="606" t="s">
        <v>903</v>
      </c>
      <c r="CN134" s="276"/>
      <c r="CP134" s="606" t="s">
        <v>903</v>
      </c>
      <c r="CS134" s="276"/>
      <c r="CU134" s="606" t="s">
        <v>903</v>
      </c>
      <c r="CX134" s="276"/>
      <c r="CZ134" s="606" t="s">
        <v>903</v>
      </c>
      <c r="DC134" s="276"/>
    </row>
    <row r="135" spans="1:107" ht="16" x14ac:dyDescent="0.2">
      <c r="A135" s="272"/>
      <c r="B135" s="829" t="s">
        <v>904</v>
      </c>
      <c r="C135" s="573">
        <f>IF(AND(D135="",F135=""),"",IF(F135="",D135+E135,F135))</f>
        <v>2</v>
      </c>
      <c r="D135" s="568" cm="1">
        <f t="array" ref="D135">IF(INDEX(135:135,$F$2)="","", INDEX(135:135, $F$2))</f>
        <v>2</v>
      </c>
      <c r="E135" s="830"/>
      <c r="F135" s="1084"/>
      <c r="G135" s="590"/>
      <c r="H135" s="828"/>
      <c r="M135" s="605" t="s">
        <v>905</v>
      </c>
      <c r="N135" s="299">
        <v>2</v>
      </c>
      <c r="O135" s="258"/>
      <c r="P135" s="276"/>
      <c r="R135" s="605" t="s">
        <v>905</v>
      </c>
      <c r="S135" s="299">
        <v>3.5</v>
      </c>
      <c r="T135" s="258"/>
      <c r="U135" s="276"/>
      <c r="W135" s="605" t="s">
        <v>905</v>
      </c>
      <c r="X135" s="299">
        <v>2</v>
      </c>
      <c r="Z135" s="276"/>
      <c r="AA135" s="258"/>
      <c r="AB135" s="605" t="s">
        <v>905</v>
      </c>
      <c r="AC135" s="299">
        <v>3.5</v>
      </c>
      <c r="AE135" s="276"/>
      <c r="AG135" s="605" t="s">
        <v>905</v>
      </c>
      <c r="AH135" s="299">
        <v>2</v>
      </c>
      <c r="AJ135" s="276"/>
      <c r="AL135" s="605" t="s">
        <v>905</v>
      </c>
      <c r="AM135" s="299">
        <v>3.5</v>
      </c>
      <c r="AO135" s="276"/>
      <c r="AQ135" s="605" t="s">
        <v>905</v>
      </c>
      <c r="AR135" s="299">
        <v>2</v>
      </c>
      <c r="AT135" s="276"/>
      <c r="AV135" s="605" t="s">
        <v>905</v>
      </c>
      <c r="AW135" s="299">
        <v>3.5</v>
      </c>
      <c r="AY135" s="276"/>
      <c r="BA135" s="605" t="s">
        <v>905</v>
      </c>
      <c r="BB135" s="299">
        <v>2</v>
      </c>
      <c r="BD135" s="276"/>
      <c r="BF135" s="605" t="s">
        <v>905</v>
      </c>
      <c r="BG135" s="299">
        <v>3.5</v>
      </c>
      <c r="BI135" s="276"/>
      <c r="BL135" s="605" t="s">
        <v>905</v>
      </c>
      <c r="BM135" s="299">
        <v>2</v>
      </c>
      <c r="BO135" s="276"/>
      <c r="BQ135" s="605" t="s">
        <v>905</v>
      </c>
      <c r="BR135" s="299">
        <v>3.5</v>
      </c>
      <c r="BT135" s="276"/>
      <c r="BV135" s="605" t="s">
        <v>905</v>
      </c>
      <c r="BW135" s="299">
        <v>2</v>
      </c>
      <c r="BY135" s="276"/>
      <c r="CA135" s="605" t="s">
        <v>905</v>
      </c>
      <c r="CB135" s="299">
        <v>3.5</v>
      </c>
      <c r="CD135" s="276"/>
      <c r="CF135" s="605" t="s">
        <v>905</v>
      </c>
      <c r="CG135" s="299">
        <v>2</v>
      </c>
      <c r="CI135" s="276"/>
      <c r="CK135" s="605" t="s">
        <v>905</v>
      </c>
      <c r="CL135" s="299">
        <v>3.5</v>
      </c>
      <c r="CN135" s="276"/>
      <c r="CP135" s="605" t="s">
        <v>905</v>
      </c>
      <c r="CQ135" s="281" cm="1">
        <f t="array" ref="CQ135">1/($CS$8/INDEX(135:135, $CS$10) + (1-$CS$8)/INDEX(135:135, $CS$11))</f>
        <v>3.5</v>
      </c>
      <c r="CS135" s="276"/>
      <c r="CU135" s="605" t="s">
        <v>905</v>
      </c>
      <c r="CV135" s="299">
        <v>2</v>
      </c>
      <c r="CX135" s="276"/>
      <c r="CY135" s="258"/>
      <c r="CZ135" s="605" t="s">
        <v>905</v>
      </c>
      <c r="DA135" s="299">
        <v>3.5</v>
      </c>
      <c r="DC135" s="276"/>
    </row>
    <row r="136" spans="1:107" x14ac:dyDescent="0.15">
      <c r="A136" s="272"/>
      <c r="B136" s="584" t="s">
        <v>906</v>
      </c>
      <c r="C136" s="573">
        <f>IF(AND(D136="",F136=""),"",IF(F136="",D136,F136))</f>
        <v>41.177692925588389</v>
      </c>
      <c r="D136" s="568" cm="1">
        <f t="array" ref="D136">IF(INDEX(136:136,$F$2)="","", INDEX(136:136, $F$2))</f>
        <v>41.177692925588389</v>
      </c>
      <c r="F136"/>
      <c r="G136" s="590"/>
      <c r="H136" s="828"/>
      <c r="M136" s="605" t="s">
        <v>906</v>
      </c>
      <c r="N136" s="281">
        <f>N135/N8/N17/((N11/N17)/(N11/N17+N12/N18+N13/N19))/(1-N23/100)*10000</f>
        <v>44.975752167995246</v>
      </c>
      <c r="O136" s="258"/>
      <c r="P136" s="276"/>
      <c r="R136" s="605" t="s">
        <v>906</v>
      </c>
      <c r="S136" s="281">
        <f>S135/S8/S17/((S11/S17)/(S11/S17+S12/S18+S13/S19))/(1-S23/100)*10000</f>
        <v>64.902772276036359</v>
      </c>
      <c r="T136" s="258"/>
      <c r="U136" s="276"/>
      <c r="W136" s="605" t="s">
        <v>906</v>
      </c>
      <c r="X136" s="281">
        <f>X135/X8/X17/((X11/X17)/(X11/X17+X12/X18+X13/X19))/(1-X23/100)*10000</f>
        <v>41.177692925588389</v>
      </c>
      <c r="Z136" s="276"/>
      <c r="AA136" s="258"/>
      <c r="AB136" s="605" t="s">
        <v>906</v>
      </c>
      <c r="AC136" s="281">
        <f>AC135/AC8/AC17/((AC11/AC17)/(AC11/AC17+AC12/AC18+AC13/AC19))/(1-AC23/100)*10000</f>
        <v>59.421939555772468</v>
      </c>
      <c r="AE136" s="276"/>
      <c r="AG136" s="605" t="s">
        <v>906</v>
      </c>
      <c r="AH136" s="281">
        <f>AH135/AH8/AH17/((AH11/AH17)/(AH11/AH17+AH12/AH18+AH13/AH19))/(1-AH23/100)*10000</f>
        <v>40.358021720154973</v>
      </c>
      <c r="AJ136" s="276"/>
      <c r="AL136" s="605" t="s">
        <v>906</v>
      </c>
      <c r="AM136" s="281">
        <f>AM135/AM8/AM17/((AM11/AM17)/(AM11/AM17+AM12/AM18+AM13/AM19))/(1-AM23/100)*10000</f>
        <v>58.239103671477345</v>
      </c>
      <c r="AO136" s="276"/>
      <c r="AQ136" s="605" t="s">
        <v>906</v>
      </c>
      <c r="AR136" s="281">
        <f>AR135/AR8/AR17/((AR11/AR17)/(AR11/AR17+AR12/AR18+AR13/AR19))/(1-AR23/100)*10000</f>
        <v>36.069037202142255</v>
      </c>
      <c r="AT136" s="276"/>
      <c r="AV136" s="605" t="s">
        <v>906</v>
      </c>
      <c r="AW136" s="281">
        <f>AW135/AW8/AW17/((AW11/AW17)/(AW11/AW17+AW12/AW18+AW13/AW19))/(1-AW23/100)*10000</f>
        <v>52.049835631484207</v>
      </c>
      <c r="AY136" s="276"/>
      <c r="BA136" s="605" t="s">
        <v>906</v>
      </c>
      <c r="BB136" s="281">
        <f>BB135/BB8/BB17/((BB11/BB17)/(BB11/BB17+BB12/BB18+BB13/BB19))/(1-BB23/100)*10000</f>
        <v>33.497158027728631</v>
      </c>
      <c r="BD136" s="276"/>
      <c r="BF136" s="605" t="s">
        <v>906</v>
      </c>
      <c r="BG136" s="281">
        <f>BG135/BG8/BG17/((BG11/BG17)/(BG11/BG17+BG12/BG18+BG13/BG19))/(1-BG23/100)*10000</f>
        <v>48.338456047326204</v>
      </c>
      <c r="BI136" s="276"/>
      <c r="BL136" s="605" t="s">
        <v>906</v>
      </c>
      <c r="BM136" s="281">
        <f>BM135/BM8/BM17/((BM11/BM17)/(BM11/BM17+BM12/BM18+BM13/BM19))/(1-BM23/100)*10000</f>
        <v>37.249430881479576</v>
      </c>
      <c r="BO136" s="276"/>
      <c r="BQ136" s="605" t="s">
        <v>906</v>
      </c>
      <c r="BR136" s="281">
        <f>BR135/BR8/BR17/((BR11/BR17)/(BR11/BR17+BR12/BR18+BR13/BR19))/(1-BR23/100)*10000</f>
        <v>53.687641451823339</v>
      </c>
      <c r="BT136" s="276"/>
      <c r="BV136" s="605" t="s">
        <v>906</v>
      </c>
      <c r="BW136" s="281">
        <f>BW135/BW8/BW17/((BW11/BW17)/(BW11/BW17+BW12/BW18+BW13/BW19))/(1-BW23/100)*10000</f>
        <v>63.854020967096254</v>
      </c>
      <c r="BY136" s="276"/>
      <c r="CA136" s="605" t="s">
        <v>906</v>
      </c>
      <c r="CB136" s="281">
        <f>CB135/CB8/CB17/((CB11/CB17)/(CB11/CB17+CB12/CB18+CB13/CB19))/(1-CB23/100)*10000</f>
        <v>93.22637297566942</v>
      </c>
      <c r="CD136" s="276"/>
      <c r="CF136" s="605" t="s">
        <v>906</v>
      </c>
      <c r="CG136" s="281">
        <f>CG135/CG8/CG17/((CG11/CG17)/(CG11/CG17+CG12/CG18+CG13/CG19))/(1-CG23/100)*10000</f>
        <v>70.500483124076808</v>
      </c>
      <c r="CI136" s="276"/>
      <c r="CK136" s="605" t="s">
        <v>906</v>
      </c>
      <c r="CL136" s="281">
        <f>CL135/CL8/CL17/((CL11/CL17)/(CL11/CL17+CL12/CL18+CL13/CL19))/(1-CL23/100)*10000</f>
        <v>102.14427910309907</v>
      </c>
      <c r="CN136" s="276"/>
      <c r="CP136" s="605" t="s">
        <v>906</v>
      </c>
      <c r="CQ136" s="281">
        <f>CQ135/CQ8/CQ17/((CQ11/CQ17)/(CQ11/CQ17+CQ12/CQ18+CQ13/CQ19))/(1-CQ23/100)*10000</f>
        <v>75.842414834731613</v>
      </c>
      <c r="CS136" s="276"/>
      <c r="CU136" s="605" t="s">
        <v>906</v>
      </c>
      <c r="CV136" s="281">
        <f>CV135/CV8/CV17/((CV11/CV17)/(CV11/CV17+CV12/CV18+CV13/CV19))/(1-CV23/100)*10000</f>
        <v>70.500483124076808</v>
      </c>
      <c r="CX136" s="276"/>
      <c r="CY136" s="258"/>
      <c r="CZ136" s="605" t="s">
        <v>906</v>
      </c>
      <c r="DA136" s="281">
        <f>DA135/DA8/DA17/((DA11/DA17)/(DA11/DA17+DA12/DA18+DA13/DA19))/(1-DA23/100)*10000</f>
        <v>102.14427910309907</v>
      </c>
      <c r="DC136" s="276"/>
    </row>
    <row r="137" spans="1:107" x14ac:dyDescent="0.15">
      <c r="A137" s="272"/>
      <c r="B137" s="584" t="s">
        <v>907</v>
      </c>
      <c r="C137" s="573">
        <f>IF(AND(D137="",F137=""),"",IF(F137="",D137+E137,F137))</f>
        <v>44.707325079561066</v>
      </c>
      <c r="D137" s="568" cm="1">
        <f t="array" ref="D137">IF(INDEX(137:137,$F$2)="","", INDEX(137:137, $F$2))</f>
        <v>44.707325079561066</v>
      </c>
      <c r="E137" s="1107">
        <f>Lists!O189*D137</f>
        <v>0</v>
      </c>
      <c r="F137"/>
      <c r="G137" s="590"/>
      <c r="H137" s="828"/>
      <c r="M137" s="605" t="s">
        <v>907</v>
      </c>
      <c r="N137" s="281">
        <f>N135*1.1/N38/N47/((N41/N47)/(N41/N47+N42/N48+N43/N49))/(1-N53/100)*10000</f>
        <v>44.707325079561066</v>
      </c>
      <c r="O137" s="258"/>
      <c r="P137" s="276"/>
      <c r="R137" s="605" t="s">
        <v>907</v>
      </c>
      <c r="S137" s="281">
        <f>S135*1.1/S38/S47/((S41/S47)/(S41/S47+S42/S48+S43/S49))/(1-S53/100)*10000</f>
        <v>66.229321917446242</v>
      </c>
      <c r="T137" s="258"/>
      <c r="U137" s="276"/>
      <c r="W137" s="605" t="s">
        <v>907</v>
      </c>
      <c r="X137" s="281">
        <f>X135*1.1/X38/X47/((X41/X47)/(X41/X47+X42/X48+X43/X49))/(1-X53/100)*10000</f>
        <v>44.707325079561066</v>
      </c>
      <c r="Z137" s="276"/>
      <c r="AA137" s="258"/>
      <c r="AB137" s="605" t="s">
        <v>907</v>
      </c>
      <c r="AC137" s="281">
        <f>AC135*1.1/AC38/AC47/((AC41/AC47)/(AC41/AC47+AC42/AC48+AC43/AC49))/(1-AC53/100)*10000</f>
        <v>66.229321917446242</v>
      </c>
      <c r="AE137" s="276"/>
      <c r="AG137" s="605" t="s">
        <v>907</v>
      </c>
      <c r="AH137" s="281">
        <f>AH135*1.1/AH38/AH47/((AH41/AH47)/(AH41/AH47+AH42/AH48+AH43/AH49))/(1-AH53/100)*10000</f>
        <v>44.707325079561066</v>
      </c>
      <c r="AJ137" s="276"/>
      <c r="AL137" s="605" t="s">
        <v>907</v>
      </c>
      <c r="AM137" s="281">
        <f>AM135*1.1/AM38/AM47/((AM41/AM47)/(AM41/AM47+AM42/AM48+AM43/AM49))/(1-AM53/100)*10000</f>
        <v>66.229321917446242</v>
      </c>
      <c r="AO137" s="276"/>
      <c r="AQ137" s="605" t="s">
        <v>907</v>
      </c>
      <c r="AR137" s="281">
        <f>AR135*1.1/AR38/AR47/((AR41/AR47)/(AR41/AR47+AR42/AR48+AR43/AR49))/(1-AR53/100)*10000</f>
        <v>44.707325079561066</v>
      </c>
      <c r="AT137" s="276"/>
      <c r="AV137" s="605" t="s">
        <v>907</v>
      </c>
      <c r="AW137" s="281">
        <f>AW135*1.1/AW38/AW47/((AW41/AW47)/(AW41/AW47+AW42/AW48+AW43/AW49))/(1-AW53/100)*10000</f>
        <v>66.229321917446242</v>
      </c>
      <c r="AY137" s="276"/>
      <c r="BA137" s="605" t="s">
        <v>907</v>
      </c>
      <c r="BB137" s="281">
        <f>BB135*1.1/BB38/BB47/((BB41/BB47)/(BB41/BB47+BB42/BB48+BB43/BB49))/(1-BB53/100)*10000</f>
        <v>44.707325079561066</v>
      </c>
      <c r="BD137" s="276"/>
      <c r="BF137" s="605" t="s">
        <v>907</v>
      </c>
      <c r="BG137" s="281">
        <f>BG135*1.1/BG38/BG47/((BG41/BG47)/(BG41/BG47+BG42/BG48+BG43/BG49))/(1-BG53/100)*10000</f>
        <v>66.229321917446242</v>
      </c>
      <c r="BI137" s="276"/>
      <c r="BL137" s="605" t="s">
        <v>907</v>
      </c>
      <c r="BM137" s="281">
        <f>BM135*1.1/BM38/BM47/((BM41/BM47)/(BM41/BM47+BM42/BM48+BM43/BM49))/(1-BM53/100)*10000</f>
        <v>44.707325079561066</v>
      </c>
      <c r="BO137" s="276"/>
      <c r="BQ137" s="605" t="s">
        <v>907</v>
      </c>
      <c r="BR137" s="281">
        <f>BR135*1.1/BR38/BR47/((BR41/BR47)/(BR41/BR47+BR42/BR48+BR43/BR49))/(1-BR53/100)*10000</f>
        <v>66.229321917446242</v>
      </c>
      <c r="BT137" s="276"/>
      <c r="BV137" s="605" t="s">
        <v>907</v>
      </c>
      <c r="BW137" s="281">
        <f>BW135*1.1/BW38/BW47/((BW41/BW47)/(BW41/BW47+BW42/BW48+BW43/BW49))/(1-BW53/100)*10000</f>
        <v>44.707325079561066</v>
      </c>
      <c r="BY137" s="276"/>
      <c r="CA137" s="605" t="s">
        <v>907</v>
      </c>
      <c r="CB137" s="281">
        <f>CB135*1.1/CB38/CB47/((CB41/CB47)/(CB41/CB47+CB42/CB48+CB43/CB49))/(1-CB53/100)*10000</f>
        <v>66.229321917446242</v>
      </c>
      <c r="CD137" s="276"/>
      <c r="CF137" s="605" t="s">
        <v>907</v>
      </c>
      <c r="CG137" s="281">
        <f>CG135*1.1/CG38/CG47/((CG41/CG47)/(CG41/CG47+CG42/CG48+CG43/CG49))/(1-CG53/100)*10000</f>
        <v>44.707325079561066</v>
      </c>
      <c r="CI137" s="276"/>
      <c r="CK137" s="605" t="s">
        <v>907</v>
      </c>
      <c r="CL137" s="281">
        <f>CL135*1.1/CL38/CL47/((CL41/CL47)/(CL41/CL47+CL42/CL48+CL43/CL49))/(1-CL53/100)*10000</f>
        <v>66.229321917446242</v>
      </c>
      <c r="CN137" s="276"/>
      <c r="CP137" s="605" t="s">
        <v>907</v>
      </c>
      <c r="CQ137" s="281">
        <f>CQ135*1.1/CQ38/CQ47/((CQ41/CQ47)/(CQ41/CQ47+CQ42/CQ48+CQ43/CQ49))/(1-CQ53/100)*10000</f>
        <v>78.237818889231875</v>
      </c>
      <c r="CS137" s="276"/>
      <c r="CU137" s="605" t="s">
        <v>907</v>
      </c>
      <c r="CV137" s="281">
        <f>CV135*1.1/CV38/CV47/((CV41/CV47)/(CV41/CV47+CV42/CV48+CV43/CV49))/(1-CV53/100)*10000</f>
        <v>68.859292744451665</v>
      </c>
      <c r="CX137" s="276"/>
      <c r="CY137" s="258"/>
      <c r="CZ137" s="605" t="s">
        <v>907</v>
      </c>
      <c r="DA137" s="281">
        <f>DA135*1.1/DA38/DA47/((DA41/DA47)/(DA41/DA47+DA42/DA48+DA43/DA49))/(1-DA53/100)*10000</f>
        <v>100.84159275692684</v>
      </c>
      <c r="DC137" s="276"/>
    </row>
    <row r="138" spans="1:107" x14ac:dyDescent="0.15">
      <c r="A138" s="272"/>
      <c r="B138" s="584" t="s">
        <v>908</v>
      </c>
      <c r="C138" s="573">
        <f>IF(AND(D138="",F138=""),"",IF(F138="",D138,F138))</f>
        <v>5</v>
      </c>
      <c r="D138" s="568" cm="1">
        <f t="array" ref="D138">IF(INDEX(138:138,$F$2)="","", INDEX(138:138, $F$2))</f>
        <v>5</v>
      </c>
      <c r="E138" s="568"/>
      <c r="F138" s="1084"/>
      <c r="G138" s="590"/>
      <c r="H138" s="828"/>
      <c r="M138" s="605" t="s">
        <v>909</v>
      </c>
      <c r="N138" s="281">
        <v>5</v>
      </c>
      <c r="O138" s="258"/>
      <c r="P138" s="276"/>
      <c r="R138" s="605" t="s">
        <v>909</v>
      </c>
      <c r="S138" s="281">
        <v>5</v>
      </c>
      <c r="T138" s="258"/>
      <c r="U138" s="276"/>
      <c r="W138" s="605" t="s">
        <v>909</v>
      </c>
      <c r="X138" s="281">
        <v>5</v>
      </c>
      <c r="Z138" s="276"/>
      <c r="AA138" s="258"/>
      <c r="AB138" s="605" t="s">
        <v>909</v>
      </c>
      <c r="AC138" s="281">
        <v>5</v>
      </c>
      <c r="AE138" s="276"/>
      <c r="AG138" s="605" t="s">
        <v>909</v>
      </c>
      <c r="AH138" s="281">
        <v>5</v>
      </c>
      <c r="AJ138" s="276"/>
      <c r="AL138" s="605" t="s">
        <v>909</v>
      </c>
      <c r="AM138" s="281">
        <v>5</v>
      </c>
      <c r="AO138" s="276"/>
      <c r="AQ138" s="605" t="s">
        <v>909</v>
      </c>
      <c r="AR138" s="281">
        <v>5</v>
      </c>
      <c r="AT138" s="276"/>
      <c r="AV138" s="605" t="s">
        <v>909</v>
      </c>
      <c r="AW138" s="281">
        <v>5</v>
      </c>
      <c r="AY138" s="276"/>
      <c r="BA138" s="605" t="s">
        <v>909</v>
      </c>
      <c r="BB138" s="281">
        <v>5</v>
      </c>
      <c r="BD138" s="276"/>
      <c r="BF138" s="605" t="s">
        <v>909</v>
      </c>
      <c r="BG138" s="281">
        <v>5</v>
      </c>
      <c r="BI138" s="276"/>
      <c r="BL138" s="605" t="s">
        <v>909</v>
      </c>
      <c r="BM138" s="281">
        <v>5</v>
      </c>
      <c r="BO138" s="276"/>
      <c r="BQ138" s="605" t="s">
        <v>909</v>
      </c>
      <c r="BR138" s="281">
        <v>5</v>
      </c>
      <c r="BT138" s="276"/>
      <c r="BV138" s="605" t="s">
        <v>909</v>
      </c>
      <c r="BW138" s="281">
        <v>5</v>
      </c>
      <c r="BY138" s="276"/>
      <c r="CA138" s="605" t="s">
        <v>909</v>
      </c>
      <c r="CB138" s="281">
        <v>5</v>
      </c>
      <c r="CD138" s="276"/>
      <c r="CF138" s="605" t="s">
        <v>909</v>
      </c>
      <c r="CG138" s="281">
        <v>5</v>
      </c>
      <c r="CI138" s="276"/>
      <c r="CK138" s="605" t="s">
        <v>909</v>
      </c>
      <c r="CL138" s="281">
        <v>5</v>
      </c>
      <c r="CN138" s="276"/>
      <c r="CP138" s="605" t="s">
        <v>909</v>
      </c>
      <c r="CQ138" s="281">
        <v>5</v>
      </c>
      <c r="CS138" s="276"/>
      <c r="CU138" s="605" t="s">
        <v>909</v>
      </c>
      <c r="CV138" s="281">
        <v>5</v>
      </c>
      <c r="CX138" s="276"/>
      <c r="CY138" s="258"/>
      <c r="CZ138" s="605" t="s">
        <v>909</v>
      </c>
      <c r="DA138" s="281">
        <v>5</v>
      </c>
      <c r="DC138" s="276"/>
    </row>
    <row r="139" spans="1:107" x14ac:dyDescent="0.15">
      <c r="A139" s="272"/>
      <c r="B139" s="584"/>
      <c r="C139" s="573"/>
      <c r="D139" s="568"/>
      <c r="E139" s="568"/>
      <c r="F139" s="565"/>
      <c r="G139" s="590"/>
      <c r="M139" s="605"/>
      <c r="N139" s="258"/>
      <c r="O139" s="258"/>
      <c r="P139" s="276"/>
      <c r="R139" s="605"/>
      <c r="S139" s="258"/>
      <c r="T139" s="258"/>
      <c r="U139" s="276"/>
      <c r="W139" s="605"/>
      <c r="X139" s="281"/>
      <c r="Z139" s="276"/>
      <c r="AB139" s="605"/>
      <c r="AC139" s="281"/>
      <c r="AE139" s="276"/>
      <c r="AG139" s="605"/>
      <c r="AH139" s="281"/>
      <c r="AJ139" s="276"/>
      <c r="AL139" s="605"/>
      <c r="AM139" s="281"/>
      <c r="AO139" s="276"/>
      <c r="AQ139" s="605"/>
      <c r="AR139" s="281"/>
      <c r="AT139" s="276"/>
      <c r="AV139" s="605"/>
      <c r="AW139" s="281"/>
      <c r="AY139" s="276"/>
      <c r="BA139" s="605"/>
      <c r="BB139" s="281"/>
      <c r="BD139" s="276"/>
      <c r="BF139" s="605"/>
      <c r="BG139" s="281"/>
      <c r="BI139" s="276"/>
      <c r="BL139" s="605"/>
      <c r="BM139" s="281"/>
      <c r="BO139" s="276"/>
      <c r="BQ139" s="605"/>
      <c r="BR139" s="281"/>
      <c r="BT139" s="276"/>
      <c r="BV139" s="605"/>
      <c r="BW139" s="281"/>
      <c r="BY139" s="276"/>
      <c r="CA139" s="605"/>
      <c r="CB139" s="281"/>
      <c r="CD139" s="276"/>
      <c r="CF139" s="605"/>
      <c r="CG139" s="281"/>
      <c r="CI139" s="276"/>
      <c r="CK139" s="605"/>
      <c r="CL139" s="281"/>
      <c r="CN139" s="276"/>
      <c r="CP139" s="605"/>
      <c r="CS139" s="276"/>
      <c r="CU139" s="605"/>
      <c r="CV139" s="281"/>
      <c r="CX139" s="276"/>
      <c r="CZ139" s="605"/>
      <c r="DA139" s="281"/>
      <c r="DC139" s="276"/>
    </row>
    <row r="140" spans="1:107" ht="16" x14ac:dyDescent="0.2">
      <c r="A140" s="272"/>
      <c r="B140" s="475" t="s">
        <v>910</v>
      </c>
      <c r="C140" s="573" t="str">
        <f>IF(AND(D140="",F140=""),"",IF(F140="",D140,F140))</f>
        <v/>
      </c>
      <c r="D140" s="568" t="str" cm="1">
        <f t="array" ref="D140">IF(INDEX(140:140,$F$2)="","", INDEX(140:140, $F$2))</f>
        <v/>
      </c>
      <c r="E140" s="568"/>
      <c r="F140" s="565"/>
      <c r="G140" s="590"/>
      <c r="M140" s="606" t="s">
        <v>910</v>
      </c>
      <c r="N140" s="258"/>
      <c r="O140" s="258"/>
      <c r="P140" s="276"/>
      <c r="R140" s="606" t="s">
        <v>910</v>
      </c>
      <c r="S140" s="258"/>
      <c r="T140" s="258"/>
      <c r="U140" s="276"/>
      <c r="W140" s="606" t="s">
        <v>910</v>
      </c>
      <c r="Z140" s="276"/>
      <c r="AB140" s="606" t="s">
        <v>910</v>
      </c>
      <c r="AE140" s="276"/>
      <c r="AG140" s="606" t="s">
        <v>910</v>
      </c>
      <c r="AJ140" s="276"/>
      <c r="AL140" s="606" t="s">
        <v>910</v>
      </c>
      <c r="AO140" s="276"/>
      <c r="AQ140" s="606" t="s">
        <v>910</v>
      </c>
      <c r="AT140" s="276"/>
      <c r="AV140" s="606" t="s">
        <v>910</v>
      </c>
      <c r="AY140" s="276"/>
      <c r="BA140" s="606" t="s">
        <v>910</v>
      </c>
      <c r="BD140" s="276"/>
      <c r="BF140" s="606" t="s">
        <v>910</v>
      </c>
      <c r="BI140" s="276"/>
      <c r="BL140" s="606" t="s">
        <v>910</v>
      </c>
      <c r="BO140" s="276"/>
      <c r="BQ140" s="606" t="s">
        <v>910</v>
      </c>
      <c r="BT140" s="276"/>
      <c r="BV140" s="606" t="s">
        <v>910</v>
      </c>
      <c r="BY140" s="276"/>
      <c r="CA140" s="606" t="s">
        <v>910</v>
      </c>
      <c r="CD140" s="276"/>
      <c r="CF140" s="606" t="s">
        <v>910</v>
      </c>
      <c r="CI140" s="276"/>
      <c r="CK140" s="606" t="s">
        <v>910</v>
      </c>
      <c r="CN140" s="276"/>
      <c r="CP140" s="606" t="s">
        <v>910</v>
      </c>
      <c r="CS140" s="276"/>
      <c r="CU140" s="606" t="s">
        <v>910</v>
      </c>
      <c r="CX140" s="276"/>
      <c r="CZ140" s="606" t="s">
        <v>910</v>
      </c>
      <c r="DC140" s="276"/>
    </row>
    <row r="141" spans="1:107" x14ac:dyDescent="0.15">
      <c r="A141" s="272"/>
      <c r="B141" s="357" t="s">
        <v>911</v>
      </c>
      <c r="C141" s="573">
        <f>IF(AND(D141="",F141=""),"",IF(F141="",D141,F141))</f>
        <v>0.68292250278285682</v>
      </c>
      <c r="D141" s="568" cm="1">
        <f t="array" ref="D141">IF(INDEX(141:141,$F$2)="","", INDEX(141:141, $F$2))</f>
        <v>0.68292250278285682</v>
      </c>
      <c r="E141" s="568"/>
      <c r="F141" s="565"/>
      <c r="G141" s="590"/>
      <c r="M141" s="309" t="s">
        <v>912</v>
      </c>
      <c r="N141" s="281">
        <f>1/(N136/10000)/N25/(N26/1000*96485/8.314/298.15)*((1-N135*N138/N70)*(1-N138/N143)^2)^-0.5</f>
        <v>0.6252518691967045</v>
      </c>
      <c r="O141" s="258"/>
      <c r="P141" s="276"/>
      <c r="R141" s="309" t="s">
        <v>912</v>
      </c>
      <c r="S141" s="281">
        <f>1/(S136/10000)/S25/(S26/1000*96485/8.314/298.15)*((1-S135*S138/S70)*(1-S138/S143)^2)^-0.5</f>
        <v>0.74634774700581219</v>
      </c>
      <c r="T141" s="258"/>
      <c r="U141" s="276"/>
      <c r="W141" s="309" t="s">
        <v>912</v>
      </c>
      <c r="X141" s="281">
        <f>1/(X136/10000)/X25/(X26/1000*96485/8.314/298.15)*((1-X135*X138/X70)*(1-X138/X143)^2)^-0.5</f>
        <v>0.68292250278285682</v>
      </c>
      <c r="Z141" s="276"/>
      <c r="AB141" s="309" t="s">
        <v>912</v>
      </c>
      <c r="AC141" s="281">
        <f>1/(AC136/10000)/AC25/(AC26/1000*96485/8.314/298.15)*((1-AC135*AC138/AC70)*(1-AC138/AC143)^2)^-0.5</f>
        <v>0.81518776103203405</v>
      </c>
      <c r="AE141" s="276"/>
      <c r="AG141" s="309" t="s">
        <v>912</v>
      </c>
      <c r="AH141" s="281">
        <f>1/(AH136/10000)/AH25/(AH26/1000*96485/8.314/298.15)*((1-AH135*AH138/AH70)*(1-AH138/AH143)^2)^-0.5</f>
        <v>0.69679265516433686</v>
      </c>
      <c r="AJ141" s="276"/>
      <c r="AL141" s="309" t="s">
        <v>912</v>
      </c>
      <c r="AM141" s="281">
        <f>1/(AM136/10000)/AM25/(AM26/1000*96485/8.314/298.15)*((1-AM135*AM138/AM70)*(1-AM138/AM143)^2)^-0.5</f>
        <v>0.83174422010163196</v>
      </c>
      <c r="AO141" s="276"/>
      <c r="AQ141" s="309" t="s">
        <v>912</v>
      </c>
      <c r="AR141" s="281">
        <f>1/(AR136/10000)/AR25/(AR26/1000*96485/8.314/298.15)*((1-AR135*AR138/AR70)*(1-AR138/AR143)^2)^-0.5</f>
        <v>0.77964856544317618</v>
      </c>
      <c r="AT141" s="276"/>
      <c r="AV141" s="309" t="s">
        <v>912</v>
      </c>
      <c r="AW141" s="281">
        <f>1/(AW136/10000)/AW25/(AW26/1000*96485/8.314/298.15)*((1-AW135*AW138/AW70)*(1-AW138/AW143)^2)^-0.5</f>
        <v>0.93064727822791293</v>
      </c>
      <c r="AY141" s="276"/>
      <c r="BA141" s="309" t="s">
        <v>912</v>
      </c>
      <c r="BB141" s="281">
        <f>1/(BB136/10000)/BB25/(BB26/1000*96485/8.314/298.15)*((1-BB135*BB138/BB70)*(1-BB138/BB143)^2)^-0.5</f>
        <v>0.83950922308956244</v>
      </c>
      <c r="BD141" s="276"/>
      <c r="BF141" s="309" t="s">
        <v>912</v>
      </c>
      <c r="BG141" s="281">
        <f>1/(BG136/10000)/BG25/(BG26/1000*96485/8.314/298.15)*((1-BG135*BG138/BG70)*(1-BG138/BG143)^2)^-0.5</f>
        <v>1.0021014700019661</v>
      </c>
      <c r="BI141" s="276"/>
      <c r="BL141" s="309" t="s">
        <v>912</v>
      </c>
      <c r="BM141" s="281">
        <f>1/(BM136/10000)/BM25/(BM26/1000*96485/8.314/298.15)*((1-BM135*BM138/BM70)*(1-BM138/BM143)^2)^-0.5</f>
        <v>0.75792101491010566</v>
      </c>
      <c r="BO141" s="276"/>
      <c r="BQ141" s="309" t="s">
        <v>912</v>
      </c>
      <c r="BR141" s="281">
        <f>1/(BR136/10000)/BR25/(BR26/1000*96485/8.314/298.15)*((1-BR135*BR138/BR70)*(1-BR138/BR143)^2)^-0.5</f>
        <v>0.90471163662935838</v>
      </c>
      <c r="BT141" s="276"/>
      <c r="BV141" s="309" t="s">
        <v>912</v>
      </c>
      <c r="BW141" s="281">
        <f>1/(BW136/10000)/BW25/(BW26/1000*96485/8.314/298.15)*((1-BW135*BW138/BW70)*(1-BW138/BW143)^2)^-0.5</f>
        <v>5.3044796475054216E-2</v>
      </c>
      <c r="BY141" s="276"/>
      <c r="CA141" s="309" t="s">
        <v>912</v>
      </c>
      <c r="CB141" s="281">
        <f>1/(CB136/10000)/CB25/(CB26/1000*96485/8.314/298.15)*((1-CB135*CB138/CB70)*(1-CB138/CB143)^2)^-0.5</f>
        <v>6.3318266269882281E-2</v>
      </c>
      <c r="CD141" s="276"/>
      <c r="CF141" s="309" t="s">
        <v>912</v>
      </c>
      <c r="CG141" s="281">
        <f>1/(CG136/10000)/CG25/(CG26/1000*96485/8.314/298.15)*((1-CG135*CG138/CG70)*(1-CG138/CG143)^2)^-0.5</f>
        <v>0.39379458440497955</v>
      </c>
      <c r="CI141" s="276"/>
      <c r="CK141" s="309" t="s">
        <v>912</v>
      </c>
      <c r="CL141" s="281">
        <f>1/(CL136/10000)/CL25/(CL26/1000*96485/8.314/298.15)*((1-CL135*CL138/CL70)*(1-CL138/CL143)^2)^-0.5</f>
        <v>0.4700628903858311</v>
      </c>
      <c r="CN141" s="276"/>
      <c r="CP141" s="309" t="s">
        <v>912</v>
      </c>
      <c r="CQ141" s="281">
        <f>1/(CQ136/10000)/CQ25/(CQ26/1000*96485/8.314/298.15)*((1-CQ135*CQ138/CQ70)*(1-CQ138/CQ143)^2)^-0.5</f>
        <v>0.63588608791277645</v>
      </c>
      <c r="CS141" s="276"/>
      <c r="CU141" s="309" t="s">
        <v>912</v>
      </c>
      <c r="CV141" s="281">
        <f>1/(CV136/10000)/CV25/(CV26/1000*96485/8.314/298.15)*((1-CV135*CV138/CV70)*(1-CV138/CV143)^2)^-0.5</f>
        <v>0.39379458440497955</v>
      </c>
      <c r="CX141" s="276"/>
      <c r="CZ141" s="309" t="s">
        <v>912</v>
      </c>
      <c r="DA141" s="281">
        <f>1/(DA136/10000)/DA25/(DA26/1000*96485/8.314/298.15)*((1-DA135*DA138/DA70)*(1-DA138/DA143)^2)^-0.5</f>
        <v>0.4700628903858311</v>
      </c>
      <c r="DC141" s="276"/>
    </row>
    <row r="142" spans="1:107" x14ac:dyDescent="0.15">
      <c r="A142" s="272"/>
      <c r="B142" s="357" t="s">
        <v>913</v>
      </c>
      <c r="C142" s="573">
        <f>IF(AND(D142="",F142=""),"",IF(F142="",D142+E142,F142))</f>
        <v>2.5139919618890043</v>
      </c>
      <c r="D142" s="564" cm="1">
        <f t="array" ref="D142">IF(INDEX(142:142,$F$2)="","", INDEX(142:142, $F$2))</f>
        <v>2.5139919618890043</v>
      </c>
      <c r="E142" s="1107">
        <f>Lists!O190</f>
        <v>0</v>
      </c>
      <c r="F142" s="565"/>
      <c r="G142" s="590"/>
      <c r="M142" s="309" t="s">
        <v>914</v>
      </c>
      <c r="N142" s="281">
        <f>1/(N137/10000)/N55/(N56/1000*96485/8.314/298.15)</f>
        <v>2.5139919618890043</v>
      </c>
      <c r="O142" s="258"/>
      <c r="P142" s="276"/>
      <c r="R142" s="309" t="s">
        <v>914</v>
      </c>
      <c r="S142" s="281">
        <f>1/(S137/10000)/S55/(S56/1000*96485/8.314/298.15)</f>
        <v>2.154850253047718</v>
      </c>
      <c r="T142" s="258"/>
      <c r="U142" s="276"/>
      <c r="W142" s="309" t="s">
        <v>914</v>
      </c>
      <c r="X142" s="281">
        <f>1/(X137/10000)/X55/(X56/1000*96485/8.314/298.15)</f>
        <v>2.5139919618890043</v>
      </c>
      <c r="Z142" s="276"/>
      <c r="AB142" s="309" t="s">
        <v>914</v>
      </c>
      <c r="AC142" s="281">
        <f>1/(AC137/10000)/AC55/(AC56/1000*96485/8.314/298.15)</f>
        <v>2.154850253047718</v>
      </c>
      <c r="AE142" s="276"/>
      <c r="AG142" s="309" t="s">
        <v>914</v>
      </c>
      <c r="AH142" s="281">
        <f>1/(AH137/10000)/AH55/(AH56/1000*96485/8.314/298.15)</f>
        <v>2.5139919618890043</v>
      </c>
      <c r="AJ142" s="276"/>
      <c r="AL142" s="309" t="s">
        <v>914</v>
      </c>
      <c r="AM142" s="281">
        <f>1/(AM137/10000)/AM55/(AM56/1000*96485/8.314/298.15)</f>
        <v>2.154850253047718</v>
      </c>
      <c r="AO142" s="276"/>
      <c r="AQ142" s="309" t="s">
        <v>914</v>
      </c>
      <c r="AR142" s="281">
        <f>1/(AR137/10000)/AR55/(AR56/1000*96485/8.314/298.15)</f>
        <v>2.5139919618890043</v>
      </c>
      <c r="AT142" s="276"/>
      <c r="AV142" s="309" t="s">
        <v>914</v>
      </c>
      <c r="AW142" s="281">
        <f>1/(AW137/10000)/AW55/(AW56/1000*96485/8.314/298.15)</f>
        <v>2.154850253047718</v>
      </c>
      <c r="AY142" s="276"/>
      <c r="BA142" s="309" t="s">
        <v>914</v>
      </c>
      <c r="BB142" s="281">
        <f>1/(BB137/10000)/BB55/(BB56/1000*96485/8.314/298.15)</f>
        <v>2.5139919618890043</v>
      </c>
      <c r="BD142" s="276"/>
      <c r="BF142" s="309" t="s">
        <v>914</v>
      </c>
      <c r="BG142" s="281">
        <f>1/(BG137/10000)/BG55/(BG56/1000*96485/8.314/298.15)</f>
        <v>2.154850253047718</v>
      </c>
      <c r="BI142" s="276"/>
      <c r="BL142" s="309" t="s">
        <v>914</v>
      </c>
      <c r="BM142" s="281">
        <f>1/(BM137/10000)/BM55/(BM56/1000*96485/8.314/298.15)</f>
        <v>2.5139919618890043</v>
      </c>
      <c r="BO142" s="276"/>
      <c r="BQ142" s="309" t="s">
        <v>914</v>
      </c>
      <c r="BR142" s="281">
        <f>1/(BR137/10000)/BR55/(BR56/1000*96485/8.314/298.15)</f>
        <v>2.154850253047718</v>
      </c>
      <c r="BT142" s="276"/>
      <c r="BV142" s="309" t="s">
        <v>914</v>
      </c>
      <c r="BW142" s="281">
        <f>1/(BW137/10000)/BW55/(BW56/1000*96485/8.314/298.15)</f>
        <v>2.5139919618890043</v>
      </c>
      <c r="BY142" s="276"/>
      <c r="CA142" s="309" t="s">
        <v>914</v>
      </c>
      <c r="CB142" s="281">
        <f>1/(CB137/10000)/CB55/(CB56/1000*96485/8.314/298.15)</f>
        <v>2.154850253047718</v>
      </c>
      <c r="CD142" s="276"/>
      <c r="CF142" s="309" t="s">
        <v>914</v>
      </c>
      <c r="CG142" s="281">
        <f>1/(CG137/10000)/CG55/(CG56/1000*96485/8.314/298.15)</f>
        <v>2.5139919618890043</v>
      </c>
      <c r="CI142" s="276"/>
      <c r="CK142" s="309" t="s">
        <v>914</v>
      </c>
      <c r="CL142" s="281">
        <f>1/(CL137/10000)/CL55/(CL56/1000*96485/8.314/298.15)</f>
        <v>2.154850253047718</v>
      </c>
      <c r="CN142" s="276"/>
      <c r="CP142" s="309" t="s">
        <v>914</v>
      </c>
      <c r="CQ142" s="281">
        <f>1/(CQ137/10000)/CQ55/(CQ56/1000*96485/8.314/298.15)</f>
        <v>1.4365668353651453</v>
      </c>
      <c r="CS142" s="276"/>
      <c r="CU142" s="309" t="s">
        <v>914</v>
      </c>
      <c r="CV142" s="281">
        <f>1/(CV137/10000)/CV55/(CV56/1000*96485/8.314/298.15)</f>
        <v>0.54527706383626895</v>
      </c>
      <c r="CX142" s="276"/>
      <c r="CZ142" s="309" t="s">
        <v>914</v>
      </c>
      <c r="DA142" s="281">
        <f>1/(DA137/10000)/DA55/(DA56/1000*96485/8.314/298.15)</f>
        <v>0.62317378724145034</v>
      </c>
      <c r="DC142" s="276"/>
    </row>
    <row r="143" spans="1:107" x14ac:dyDescent="0.15">
      <c r="A143" s="272"/>
      <c r="B143" s="584" t="s">
        <v>915</v>
      </c>
      <c r="C143" s="573">
        <f>IF(AND(D143="",F143=""),"",IF(F143="",D143,F143))</f>
        <v>120</v>
      </c>
      <c r="D143" s="568" cm="1">
        <f t="array" ref="D143">IF(INDEX(143:143,$F$2)="","", INDEX(143:143, $F$2))</f>
        <v>120</v>
      </c>
      <c r="E143" s="568"/>
      <c r="F143" s="565"/>
      <c r="G143" s="590"/>
      <c r="M143" s="605" t="s">
        <v>915</v>
      </c>
      <c r="N143" s="299">
        <v>120</v>
      </c>
      <c r="O143" s="258"/>
      <c r="P143" s="276"/>
      <c r="R143" s="605" t="s">
        <v>915</v>
      </c>
      <c r="S143" s="299">
        <v>120</v>
      </c>
      <c r="T143" s="258"/>
      <c r="U143" s="276"/>
      <c r="W143" s="605" t="s">
        <v>915</v>
      </c>
      <c r="X143" s="299">
        <v>120</v>
      </c>
      <c r="Z143" s="276"/>
      <c r="AB143" s="605" t="s">
        <v>915</v>
      </c>
      <c r="AC143" s="299">
        <v>120</v>
      </c>
      <c r="AE143" s="276"/>
      <c r="AG143" s="605" t="s">
        <v>915</v>
      </c>
      <c r="AH143" s="299">
        <v>120</v>
      </c>
      <c r="AJ143" s="276"/>
      <c r="AL143" s="605" t="s">
        <v>915</v>
      </c>
      <c r="AM143" s="299">
        <v>120</v>
      </c>
      <c r="AO143" s="276"/>
      <c r="AQ143" s="605" t="s">
        <v>915</v>
      </c>
      <c r="AR143" s="299">
        <v>120</v>
      </c>
      <c r="AT143" s="276"/>
      <c r="AV143" s="605" t="s">
        <v>915</v>
      </c>
      <c r="AW143" s="299">
        <v>120</v>
      </c>
      <c r="AY143" s="276"/>
      <c r="BA143" s="605" t="s">
        <v>915</v>
      </c>
      <c r="BB143" s="299">
        <v>120</v>
      </c>
      <c r="BD143" s="276"/>
      <c r="BF143" s="605" t="s">
        <v>915</v>
      </c>
      <c r="BG143" s="299">
        <v>120</v>
      </c>
      <c r="BI143" s="276"/>
      <c r="BL143" s="605" t="s">
        <v>915</v>
      </c>
      <c r="BM143" s="299">
        <v>120</v>
      </c>
      <c r="BO143" s="276"/>
      <c r="BQ143" s="605" t="s">
        <v>915</v>
      </c>
      <c r="BR143" s="299">
        <v>120</v>
      </c>
      <c r="BT143" s="276"/>
      <c r="BV143" s="605" t="s">
        <v>915</v>
      </c>
      <c r="BW143" s="299">
        <v>120</v>
      </c>
      <c r="BY143" s="276"/>
      <c r="CA143" s="605" t="s">
        <v>915</v>
      </c>
      <c r="CB143" s="299">
        <v>120</v>
      </c>
      <c r="CD143" s="276"/>
      <c r="CF143" s="605" t="s">
        <v>915</v>
      </c>
      <c r="CG143" s="299">
        <v>120</v>
      </c>
      <c r="CI143" s="276"/>
      <c r="CK143" s="605" t="s">
        <v>915</v>
      </c>
      <c r="CL143" s="299">
        <v>120</v>
      </c>
      <c r="CN143" s="276"/>
      <c r="CP143" s="605" t="s">
        <v>915</v>
      </c>
      <c r="CQ143" s="299">
        <v>120</v>
      </c>
      <c r="CS143" s="276"/>
      <c r="CU143" s="605" t="s">
        <v>915</v>
      </c>
      <c r="CV143" s="299">
        <v>120</v>
      </c>
      <c r="CX143" s="276"/>
      <c r="CZ143" s="605" t="s">
        <v>915</v>
      </c>
      <c r="DA143" s="299">
        <v>120</v>
      </c>
      <c r="DC143" s="276"/>
    </row>
    <row r="144" spans="1:107" x14ac:dyDescent="0.15">
      <c r="B144" s="584" t="s">
        <v>916</v>
      </c>
      <c r="C144" s="573">
        <f>D144</f>
        <v>-30</v>
      </c>
      <c r="D144" s="564" cm="1">
        <f t="array" ref="D144">IF(INDEX(144:144,$F$2)="","", INDEX(144:144, $F$2))</f>
        <v>-30</v>
      </c>
      <c r="E144" s="564"/>
      <c r="F144" s="565"/>
      <c r="G144" s="297"/>
      <c r="M144" s="605" t="s">
        <v>917</v>
      </c>
      <c r="N144" s="299">
        <v>-30</v>
      </c>
      <c r="O144" s="258"/>
      <c r="P144" s="276"/>
      <c r="R144" s="605" t="s">
        <v>917</v>
      </c>
      <c r="S144" s="299">
        <v>-30</v>
      </c>
      <c r="T144" s="258"/>
      <c r="U144" s="276"/>
      <c r="W144" s="605" t="s">
        <v>917</v>
      </c>
      <c r="X144" s="284">
        <v>-30</v>
      </c>
      <c r="Z144" s="276"/>
      <c r="AB144" s="605" t="s">
        <v>917</v>
      </c>
      <c r="AC144" s="284">
        <v>-30</v>
      </c>
      <c r="AE144" s="276"/>
      <c r="AG144" s="605" t="s">
        <v>917</v>
      </c>
      <c r="AH144" s="299">
        <v>-30</v>
      </c>
      <c r="AJ144" s="276"/>
      <c r="AL144" s="605" t="s">
        <v>917</v>
      </c>
      <c r="AM144" s="299">
        <v>-30</v>
      </c>
      <c r="AO144" s="276"/>
      <c r="AQ144" s="605" t="s">
        <v>917</v>
      </c>
      <c r="AR144" s="299">
        <v>-30</v>
      </c>
      <c r="AT144" s="276"/>
      <c r="AV144" s="605" t="s">
        <v>917</v>
      </c>
      <c r="AW144" s="299">
        <v>-30</v>
      </c>
      <c r="AY144" s="276"/>
      <c r="BA144" s="605" t="s">
        <v>917</v>
      </c>
      <c r="BB144" s="299">
        <v>-30</v>
      </c>
      <c r="BD144" s="276"/>
      <c r="BF144" s="605" t="s">
        <v>917</v>
      </c>
      <c r="BG144" s="299">
        <v>-30</v>
      </c>
      <c r="BI144" s="276"/>
      <c r="BL144" s="605" t="s">
        <v>917</v>
      </c>
      <c r="BM144" s="299">
        <v>-30</v>
      </c>
      <c r="BO144" s="276"/>
      <c r="BQ144" s="605" t="s">
        <v>917</v>
      </c>
      <c r="BR144" s="299">
        <v>-30</v>
      </c>
      <c r="BT144" s="276"/>
      <c r="BV144" s="605" t="s">
        <v>917</v>
      </c>
      <c r="BW144" s="299">
        <v>-30</v>
      </c>
      <c r="BY144" s="276"/>
      <c r="CA144" s="605" t="s">
        <v>917</v>
      </c>
      <c r="CB144" s="299">
        <v>-30</v>
      </c>
      <c r="CD144" s="276"/>
      <c r="CF144" s="605" t="s">
        <v>917</v>
      </c>
      <c r="CG144" s="299">
        <v>-30</v>
      </c>
      <c r="CI144" s="276"/>
      <c r="CK144" s="605" t="s">
        <v>917</v>
      </c>
      <c r="CL144" s="299">
        <v>-30</v>
      </c>
      <c r="CN144" s="276"/>
      <c r="CP144" s="605" t="s">
        <v>917</v>
      </c>
      <c r="CQ144" s="299">
        <v>-30</v>
      </c>
      <c r="CS144" s="276"/>
      <c r="CU144" s="605" t="s">
        <v>917</v>
      </c>
      <c r="CV144" s="299">
        <v>-30</v>
      </c>
      <c r="CX144" s="276"/>
      <c r="CZ144" s="605" t="s">
        <v>917</v>
      </c>
      <c r="DA144" s="299">
        <v>-30</v>
      </c>
      <c r="DC144" s="276"/>
    </row>
    <row r="145" spans="1:118" ht="15" thickBot="1" x14ac:dyDescent="0.2">
      <c r="A145" s="272"/>
      <c r="B145" s="536"/>
      <c r="C145" s="602"/>
      <c r="D145" s="568" t="str" cm="1">
        <f t="array" ref="D145">IF(INDEX(145:145,$F$2)="","", INDEX(145:145, $F$2))</f>
        <v/>
      </c>
      <c r="E145" s="568"/>
      <c r="F145" s="565"/>
      <c r="G145" s="590"/>
      <c r="M145" s="275"/>
      <c r="N145" s="258"/>
      <c r="O145" s="258"/>
      <c r="P145" s="276"/>
      <c r="R145" s="275"/>
      <c r="S145" s="258"/>
      <c r="T145" s="258"/>
      <c r="U145" s="276"/>
      <c r="W145" s="275"/>
      <c r="Z145" s="276"/>
      <c r="AB145" s="275"/>
      <c r="AE145" s="276"/>
      <c r="AG145" s="275"/>
      <c r="AJ145" s="276"/>
      <c r="AL145" s="275"/>
      <c r="AO145" s="276"/>
      <c r="AQ145" s="275"/>
      <c r="AT145" s="276"/>
      <c r="AV145" s="275"/>
      <c r="AY145" s="276"/>
      <c r="BA145" s="275"/>
      <c r="BD145" s="276"/>
      <c r="BF145" s="275"/>
      <c r="BI145" s="276"/>
      <c r="BL145" s="275"/>
      <c r="BO145" s="276"/>
      <c r="BQ145" s="275"/>
      <c r="BT145" s="276"/>
      <c r="BV145" s="275"/>
      <c r="BY145" s="276"/>
      <c r="CA145" s="275"/>
      <c r="CD145" s="276"/>
      <c r="CF145" s="275"/>
      <c r="CI145" s="276"/>
      <c r="CK145" s="275"/>
      <c r="CN145" s="276"/>
      <c r="CP145" s="275"/>
      <c r="CS145" s="276"/>
      <c r="CU145" s="275"/>
      <c r="CX145" s="276"/>
      <c r="CZ145" s="275"/>
      <c r="DC145" s="276"/>
    </row>
    <row r="146" spans="1:118" ht="19" thickBot="1" x14ac:dyDescent="0.25">
      <c r="A146" s="272"/>
      <c r="B146" s="440" t="s">
        <v>918</v>
      </c>
      <c r="C146" s="577"/>
      <c r="D146" s="577"/>
      <c r="E146" s="577"/>
      <c r="F146" s="577"/>
      <c r="G146" s="439"/>
      <c r="M146" s="309"/>
      <c r="N146" s="246"/>
      <c r="O146" s="299"/>
      <c r="P146" s="308"/>
      <c r="Q146" s="299"/>
      <c r="R146" s="309"/>
      <c r="S146" s="246"/>
      <c r="T146" s="299"/>
      <c r="U146" s="308"/>
      <c r="W146" s="309"/>
      <c r="X146" s="246"/>
      <c r="Y146" s="299"/>
      <c r="Z146" s="308"/>
      <c r="AB146" s="309"/>
      <c r="AC146" s="246"/>
      <c r="AD146" s="299"/>
      <c r="AE146" s="308"/>
      <c r="AF146" s="299"/>
      <c r="AG146" s="309"/>
      <c r="AH146" s="246"/>
      <c r="AI146" s="299"/>
      <c r="AJ146" s="308"/>
      <c r="AL146" s="309"/>
      <c r="AM146" s="246"/>
      <c r="AN146" s="299"/>
      <c r="AO146" s="308"/>
      <c r="AQ146" s="309"/>
      <c r="AR146" s="246"/>
      <c r="AS146" s="299"/>
      <c r="AT146" s="308"/>
      <c r="AV146" s="309"/>
      <c r="AW146" s="246"/>
      <c r="AX146" s="299"/>
      <c r="AY146" s="308"/>
      <c r="AZ146" s="299"/>
      <c r="BA146" s="309"/>
      <c r="BB146" s="246"/>
      <c r="BC146" s="299"/>
      <c r="BD146" s="308"/>
      <c r="BF146" s="309"/>
      <c r="BG146" s="246"/>
      <c r="BH146" s="299"/>
      <c r="BI146" s="308"/>
      <c r="BJ146" s="299"/>
      <c r="BL146" s="309"/>
      <c r="BM146" s="246"/>
      <c r="BN146" s="299"/>
      <c r="BO146" s="308"/>
      <c r="BQ146" s="309"/>
      <c r="BR146" s="246"/>
      <c r="BS146" s="299"/>
      <c r="BT146" s="308"/>
      <c r="BV146" s="309"/>
      <c r="BW146" s="246"/>
      <c r="BX146" s="299"/>
      <c r="BY146" s="308"/>
      <c r="CA146" s="309"/>
      <c r="CB146" s="246"/>
      <c r="CC146" s="299"/>
      <c r="CD146" s="308"/>
      <c r="CF146" s="309"/>
      <c r="CG146" s="246"/>
      <c r="CH146" s="299"/>
      <c r="CI146" s="308"/>
      <c r="CK146" s="309"/>
      <c r="CL146" s="246"/>
      <c r="CM146" s="299"/>
      <c r="CN146" s="308"/>
      <c r="CP146" s="309"/>
      <c r="CQ146" s="246"/>
      <c r="CR146" s="299"/>
      <c r="CS146" s="308"/>
      <c r="CU146" s="309"/>
      <c r="CV146" s="246"/>
      <c r="CW146" s="299"/>
      <c r="CX146" s="308"/>
      <c r="CZ146" s="309"/>
      <c r="DA146" s="246"/>
      <c r="DB146" s="299"/>
      <c r="DC146" s="308"/>
    </row>
    <row r="147" spans="1:118" x14ac:dyDescent="0.15">
      <c r="A147" s="272"/>
      <c r="B147" s="585"/>
      <c r="C147" s="575" t="str">
        <f>IF(AND(D147="",F147=""),"",IF(F147="",D147,F147))</f>
        <v/>
      </c>
      <c r="D147" s="564" t="str">
        <f>IF(INDEX(147:147,$F$2)="","", INDEX(147:147, $F$2))</f>
        <v/>
      </c>
      <c r="E147" s="564"/>
      <c r="F147" s="565"/>
      <c r="G147" s="297"/>
      <c r="M147" s="305" t="s">
        <v>919</v>
      </c>
      <c r="N147" s="307"/>
      <c r="O147" s="258"/>
      <c r="P147" s="276"/>
      <c r="R147" s="305" t="s">
        <v>919</v>
      </c>
      <c r="S147" s="307"/>
      <c r="T147" s="258"/>
      <c r="U147" s="276"/>
      <c r="W147" s="305" t="s">
        <v>919</v>
      </c>
      <c r="X147" s="307"/>
      <c r="Z147" s="276"/>
      <c r="AB147" s="305" t="s">
        <v>919</v>
      </c>
      <c r="AC147" s="307"/>
      <c r="AE147" s="276"/>
      <c r="AG147" s="305" t="s">
        <v>919</v>
      </c>
      <c r="AH147" s="307"/>
      <c r="AJ147" s="276"/>
      <c r="AL147" s="305" t="s">
        <v>919</v>
      </c>
      <c r="AM147" s="307"/>
      <c r="AO147" s="276"/>
      <c r="AQ147" s="305" t="s">
        <v>919</v>
      </c>
      <c r="AR147" s="307"/>
      <c r="AT147" s="276"/>
      <c r="AV147" s="305" t="s">
        <v>919</v>
      </c>
      <c r="AW147" s="307"/>
      <c r="AY147" s="276"/>
      <c r="BA147" s="305" t="s">
        <v>919</v>
      </c>
      <c r="BB147" s="307"/>
      <c r="BD147" s="276"/>
      <c r="BF147" s="305" t="s">
        <v>919</v>
      </c>
      <c r="BG147" s="307"/>
      <c r="BI147" s="276"/>
      <c r="BL147" s="305" t="s">
        <v>919</v>
      </c>
      <c r="BM147" s="307"/>
      <c r="BO147" s="276"/>
      <c r="BQ147" s="305" t="s">
        <v>919</v>
      </c>
      <c r="BR147" s="307"/>
      <c r="BT147" s="276"/>
      <c r="BV147" s="305" t="s">
        <v>919</v>
      </c>
      <c r="BW147" s="307"/>
      <c r="BY147" s="276"/>
      <c r="CA147" s="305" t="s">
        <v>919</v>
      </c>
      <c r="CB147" s="307"/>
      <c r="CD147" s="276"/>
      <c r="CF147" s="305" t="s">
        <v>919</v>
      </c>
      <c r="CG147" s="307"/>
      <c r="CI147" s="276"/>
      <c r="CK147" s="305" t="s">
        <v>919</v>
      </c>
      <c r="CL147" s="307"/>
      <c r="CN147" s="276"/>
      <c r="CP147" s="305" t="s">
        <v>919</v>
      </c>
      <c r="CQ147" s="307"/>
      <c r="CS147" s="276"/>
      <c r="CU147" s="305" t="s">
        <v>919</v>
      </c>
      <c r="CV147" s="307"/>
      <c r="CX147" s="276"/>
      <c r="CZ147" s="305" t="s">
        <v>919</v>
      </c>
      <c r="DA147" s="307"/>
      <c r="DC147" s="276"/>
    </row>
    <row r="148" spans="1:118" s="594" customFormat="1" ht="16" x14ac:dyDescent="0.2">
      <c r="A148" s="593"/>
      <c r="B148" s="591" t="s">
        <v>920</v>
      </c>
      <c r="D148" s="595" t="str">
        <f>IF(INDEX(148:148,$F$2)="","", INDEX(148:148, $F$2))</f>
        <v/>
      </c>
      <c r="E148" s="595"/>
      <c r="F148" s="596"/>
      <c r="G148" s="597"/>
      <c r="M148" s="285" t="s">
        <v>89</v>
      </c>
      <c r="N148" s="1028"/>
      <c r="O148" s="599"/>
      <c r="P148" s="600"/>
      <c r="Q148" s="599"/>
      <c r="R148" s="285" t="s">
        <v>89</v>
      </c>
      <c r="S148" s="598"/>
      <c r="T148" s="599"/>
      <c r="U148" s="600"/>
      <c r="W148" s="285" t="s">
        <v>89</v>
      </c>
      <c r="X148" s="598"/>
      <c r="Y148" s="599"/>
      <c r="Z148" s="600"/>
      <c r="AB148" s="285" t="s">
        <v>89</v>
      </c>
      <c r="AC148" s="598"/>
      <c r="AD148" s="599"/>
      <c r="AE148" s="600"/>
      <c r="AF148" s="601"/>
      <c r="AG148" s="285" t="s">
        <v>89</v>
      </c>
      <c r="AH148" s="598"/>
      <c r="AI148" s="599"/>
      <c r="AJ148" s="600"/>
      <c r="AK148" s="599"/>
      <c r="AL148" s="285" t="s">
        <v>89</v>
      </c>
      <c r="AM148" s="598"/>
      <c r="AN148" s="599"/>
      <c r="AO148" s="600"/>
      <c r="AP148" s="599"/>
      <c r="AQ148" s="285" t="s">
        <v>89</v>
      </c>
      <c r="AR148" s="598"/>
      <c r="AS148" s="599"/>
      <c r="AT148" s="600"/>
      <c r="AU148" s="599"/>
      <c r="AV148" s="285" t="s">
        <v>89</v>
      </c>
      <c r="AW148" s="598"/>
      <c r="AX148" s="599"/>
      <c r="AY148" s="600"/>
      <c r="AZ148" s="601"/>
      <c r="BA148" s="285" t="s">
        <v>89</v>
      </c>
      <c r="BB148" s="598"/>
      <c r="BC148" s="599"/>
      <c r="BD148" s="600"/>
      <c r="BE148" s="599"/>
      <c r="BF148" s="285" t="s">
        <v>89</v>
      </c>
      <c r="BG148" s="598"/>
      <c r="BH148" s="599"/>
      <c r="BI148" s="600"/>
      <c r="BJ148" s="601"/>
      <c r="BK148" s="599"/>
      <c r="BL148" s="285" t="s">
        <v>89</v>
      </c>
      <c r="BM148" s="598"/>
      <c r="BN148" s="599"/>
      <c r="BO148" s="600"/>
      <c r="BP148" s="599"/>
      <c r="BQ148" s="285" t="s">
        <v>89</v>
      </c>
      <c r="BR148" s="598"/>
      <c r="BS148" s="599"/>
      <c r="BT148" s="600"/>
      <c r="BU148" s="599"/>
      <c r="BV148" s="285" t="s">
        <v>89</v>
      </c>
      <c r="BW148" s="598"/>
      <c r="BX148" s="599"/>
      <c r="BY148" s="600"/>
      <c r="BZ148" s="599"/>
      <c r="CA148" s="285" t="s">
        <v>89</v>
      </c>
      <c r="CB148" s="598"/>
      <c r="CC148" s="599"/>
      <c r="CD148" s="600"/>
      <c r="CE148" s="599"/>
      <c r="CF148" s="285" t="s">
        <v>89</v>
      </c>
      <c r="CG148" s="598"/>
      <c r="CH148" s="599"/>
      <c r="CI148" s="600"/>
      <c r="CJ148" s="599"/>
      <c r="CK148" s="285" t="s">
        <v>89</v>
      </c>
      <c r="CL148" s="598"/>
      <c r="CM148" s="599"/>
      <c r="CN148" s="600"/>
      <c r="CP148" s="285" t="s">
        <v>89</v>
      </c>
      <c r="CQ148" s="598"/>
      <c r="CR148" s="599"/>
      <c r="CS148" s="600"/>
      <c r="CT148" s="599"/>
      <c r="CU148" s="285" t="s">
        <v>89</v>
      </c>
      <c r="CV148" s="598"/>
      <c r="CW148" s="599"/>
      <c r="CX148" s="600"/>
      <c r="CY148" s="598"/>
      <c r="CZ148" s="285" t="s">
        <v>89</v>
      </c>
      <c r="DA148" s="598"/>
      <c r="DB148" s="599"/>
      <c r="DC148" s="600"/>
      <c r="DD148" s="598"/>
      <c r="DF148" s="598"/>
      <c r="DG148" s="598"/>
      <c r="DH148" s="598"/>
      <c r="DI148" s="598"/>
      <c r="DJ148" s="598"/>
      <c r="DK148" s="598"/>
      <c r="DL148" s="598"/>
      <c r="DM148" s="598"/>
      <c r="DN148" s="6"/>
    </row>
    <row r="149" spans="1:118" x14ac:dyDescent="0.15">
      <c r="A149" s="272"/>
      <c r="B149" s="567" t="s">
        <v>921</v>
      </c>
      <c r="C149" s="1137">
        <f>IF(NOT(Dashboard!E88=""),Dashboard!E88,IF(AND(D149="",F149=""),"",IF(F149="",D149+E149,F149)))</f>
        <v>31</v>
      </c>
      <c r="D149" s="587" cm="1">
        <f t="array" ref="D149">IF(INDEX(149:149,$F$2)="","", INDEX(149:149, $F$2))</f>
        <v>31</v>
      </c>
      <c r="E149" s="1115"/>
      <c r="F149" s="565"/>
      <c r="G149" s="310"/>
      <c r="M149" s="289" t="s">
        <v>735</v>
      </c>
      <c r="N149" s="281">
        <v>29.5</v>
      </c>
      <c r="O149" s="258"/>
      <c r="P149" s="311"/>
      <c r="R149" s="289" t="s">
        <v>735</v>
      </c>
      <c r="S149" s="281">
        <v>29.5</v>
      </c>
      <c r="T149" s="258"/>
      <c r="U149" s="311"/>
      <c r="W149" s="289" t="s">
        <v>735</v>
      </c>
      <c r="X149" s="281">
        <v>31</v>
      </c>
      <c r="Z149" s="311"/>
      <c r="AB149" s="289" t="s">
        <v>735</v>
      </c>
      <c r="AC149" s="281">
        <v>31</v>
      </c>
      <c r="AE149" s="311"/>
      <c r="AF149" s="457"/>
      <c r="AG149" s="289" t="s">
        <v>735</v>
      </c>
      <c r="AH149" s="281">
        <v>30.5</v>
      </c>
      <c r="AJ149" s="311"/>
      <c r="AL149" s="289" t="s">
        <v>735</v>
      </c>
      <c r="AM149" s="281">
        <v>30.5</v>
      </c>
      <c r="AO149" s="311"/>
      <c r="AQ149" s="289" t="s">
        <v>735</v>
      </c>
      <c r="AR149" s="281">
        <v>34.5</v>
      </c>
      <c r="AT149" s="311"/>
      <c r="AV149" s="289" t="s">
        <v>735</v>
      </c>
      <c r="AW149" s="281">
        <v>34.5</v>
      </c>
      <c r="AY149" s="311"/>
      <c r="AZ149" s="457"/>
      <c r="BA149" s="289" t="s">
        <v>735</v>
      </c>
      <c r="BB149" s="281">
        <v>35</v>
      </c>
      <c r="BD149" s="311"/>
      <c r="BF149" s="289" t="s">
        <v>735</v>
      </c>
      <c r="BG149" s="281">
        <v>35</v>
      </c>
      <c r="BI149" s="311"/>
      <c r="BJ149" s="457"/>
      <c r="BL149" s="289" t="s">
        <v>735</v>
      </c>
      <c r="BM149" s="281">
        <v>35.5</v>
      </c>
      <c r="BO149" s="311"/>
      <c r="BQ149" s="289" t="s">
        <v>735</v>
      </c>
      <c r="BR149" s="281">
        <v>35.5</v>
      </c>
      <c r="BT149" s="311"/>
      <c r="BV149" s="289" t="s">
        <v>735</v>
      </c>
      <c r="BW149" s="281">
        <v>11.5</v>
      </c>
      <c r="BY149" s="311"/>
      <c r="CA149" s="289" t="s">
        <v>735</v>
      </c>
      <c r="CB149" s="281">
        <v>11.5</v>
      </c>
      <c r="CD149" s="311"/>
      <c r="CF149" s="289" t="s">
        <v>735</v>
      </c>
      <c r="CG149" s="281">
        <v>11</v>
      </c>
      <c r="CI149" s="311"/>
      <c r="CK149" s="289" t="s">
        <v>735</v>
      </c>
      <c r="CL149" s="281">
        <v>11</v>
      </c>
      <c r="CN149" s="311"/>
      <c r="CP149" s="289" t="s">
        <v>735</v>
      </c>
      <c r="CQ149" s="281" cm="1">
        <f t="array" ref="CQ149">INDEX(149:149, $CS$10)*$CS$8 + INDEX(149:149, $CS$11)*(1-$CS$8)</f>
        <v>21</v>
      </c>
      <c r="CS149" s="311"/>
      <c r="CU149" s="289" t="s">
        <v>735</v>
      </c>
      <c r="CV149" s="281">
        <v>11</v>
      </c>
      <c r="CX149" s="311"/>
      <c r="CZ149" s="289" t="s">
        <v>735</v>
      </c>
      <c r="DA149" s="281">
        <v>11</v>
      </c>
      <c r="DC149" s="311"/>
    </row>
    <row r="150" spans="1:118" x14ac:dyDescent="0.15">
      <c r="A150" s="272"/>
      <c r="B150" s="567" t="s">
        <v>922</v>
      </c>
      <c r="C150" s="1137">
        <f>IF(NOT(Dashboard!E89=""),Dashboard!E89,IF(AND(D150="",F150=""),"",IF(F150="",D150+E150,F150)))</f>
        <v>7</v>
      </c>
      <c r="D150" s="587" cm="1">
        <f t="array" ref="D150">IF(INDEX(150:150,$F$2)="","", INDEX(150:150, $F$2))</f>
        <v>7</v>
      </c>
      <c r="E150" s="1115"/>
      <c r="F150" s="565"/>
      <c r="G150" s="310"/>
      <c r="M150" s="289" t="s">
        <v>767</v>
      </c>
      <c r="N150" s="281">
        <v>7</v>
      </c>
      <c r="O150" s="258"/>
      <c r="P150" s="311"/>
      <c r="R150" s="289" t="s">
        <v>767</v>
      </c>
      <c r="S150" s="281">
        <v>7</v>
      </c>
      <c r="T150" s="258"/>
      <c r="U150" s="311"/>
      <c r="W150" s="289" t="s">
        <v>767</v>
      </c>
      <c r="X150" s="281">
        <v>7</v>
      </c>
      <c r="Z150" s="311"/>
      <c r="AB150" s="289" t="s">
        <v>767</v>
      </c>
      <c r="AC150" s="281">
        <v>7</v>
      </c>
      <c r="AE150" s="311"/>
      <c r="AF150" s="457"/>
      <c r="AG150" s="289" t="s">
        <v>767</v>
      </c>
      <c r="AH150" s="281">
        <v>7</v>
      </c>
      <c r="AJ150" s="311"/>
      <c r="AL150" s="289" t="s">
        <v>767</v>
      </c>
      <c r="AM150" s="281">
        <v>7</v>
      </c>
      <c r="AO150" s="311"/>
      <c r="AQ150" s="289" t="s">
        <v>767</v>
      </c>
      <c r="AR150" s="281">
        <v>7</v>
      </c>
      <c r="AT150" s="311"/>
      <c r="AV150" s="289" t="s">
        <v>767</v>
      </c>
      <c r="AW150" s="281">
        <v>7</v>
      </c>
      <c r="AY150" s="311"/>
      <c r="AZ150" s="457"/>
      <c r="BA150" s="289" t="s">
        <v>767</v>
      </c>
      <c r="BB150" s="281">
        <v>7</v>
      </c>
      <c r="BD150" s="311"/>
      <c r="BF150" s="289" t="s">
        <v>767</v>
      </c>
      <c r="BG150" s="281">
        <v>7</v>
      </c>
      <c r="BI150" s="311"/>
      <c r="BJ150" s="457"/>
      <c r="BL150" s="289" t="s">
        <v>767</v>
      </c>
      <c r="BM150" s="281">
        <v>7</v>
      </c>
      <c r="BO150" s="311"/>
      <c r="BQ150" s="289" t="s">
        <v>767</v>
      </c>
      <c r="BR150" s="281">
        <v>7</v>
      </c>
      <c r="BT150" s="311"/>
      <c r="BV150" s="289" t="s">
        <v>767</v>
      </c>
      <c r="BW150" s="281">
        <v>7</v>
      </c>
      <c r="BY150" s="311"/>
      <c r="CA150" s="289" t="s">
        <v>767</v>
      </c>
      <c r="CB150" s="281">
        <v>7</v>
      </c>
      <c r="CD150" s="311"/>
      <c r="CF150" s="289" t="s">
        <v>767</v>
      </c>
      <c r="CG150" s="281">
        <v>7</v>
      </c>
      <c r="CI150" s="311"/>
      <c r="CK150" s="289" t="s">
        <v>767</v>
      </c>
      <c r="CL150" s="281">
        <v>7</v>
      </c>
      <c r="CN150" s="311"/>
      <c r="CP150" s="289" t="s">
        <v>767</v>
      </c>
      <c r="CQ150" s="281">
        <v>7</v>
      </c>
      <c r="CS150" s="311"/>
      <c r="CU150" s="289" t="s">
        <v>767</v>
      </c>
      <c r="CV150" s="281">
        <v>7</v>
      </c>
      <c r="CX150" s="311"/>
      <c r="CZ150" s="289" t="s">
        <v>767</v>
      </c>
      <c r="DA150" s="281">
        <v>7</v>
      </c>
      <c r="DC150" s="311"/>
    </row>
    <row r="151" spans="1:118" x14ac:dyDescent="0.15">
      <c r="A151" s="272"/>
      <c r="B151" s="566" t="s">
        <v>923</v>
      </c>
      <c r="C151" s="1137">
        <f>IF(NOT(Dashboard!E90=""),Dashboard!E90,IF(AND(D151="",F151=""),"",IF(F151="",D151+E151,F151)))</f>
        <v>15</v>
      </c>
      <c r="D151" s="587" cm="1">
        <f t="array" ref="D151">IF(INDEX(151:151,$F$2)="","", INDEX(151:151, $F$2))</f>
        <v>15</v>
      </c>
      <c r="E151" s="1115"/>
      <c r="F151" s="565"/>
      <c r="G151" s="313"/>
      <c r="M151" s="275" t="s">
        <v>924</v>
      </c>
      <c r="N151" s="281">
        <v>15</v>
      </c>
      <c r="O151" s="258"/>
      <c r="P151" s="314"/>
      <c r="R151" s="275" t="s">
        <v>924</v>
      </c>
      <c r="S151" s="281">
        <v>15</v>
      </c>
      <c r="T151" s="258"/>
      <c r="U151" s="314"/>
      <c r="W151" s="275" t="s">
        <v>924</v>
      </c>
      <c r="X151" s="281">
        <v>15</v>
      </c>
      <c r="Z151" s="314"/>
      <c r="AB151" s="275" t="s">
        <v>924</v>
      </c>
      <c r="AC151" s="281">
        <v>15</v>
      </c>
      <c r="AE151" s="314"/>
      <c r="AF151" s="458"/>
      <c r="AG151" s="275" t="s">
        <v>924</v>
      </c>
      <c r="AH151" s="281">
        <v>15</v>
      </c>
      <c r="AJ151" s="314"/>
      <c r="AL151" s="275" t="s">
        <v>924</v>
      </c>
      <c r="AM151" s="281">
        <v>15</v>
      </c>
      <c r="AO151" s="314"/>
      <c r="AQ151" s="275" t="s">
        <v>924</v>
      </c>
      <c r="AR151" s="281">
        <v>15</v>
      </c>
      <c r="AT151" s="314"/>
      <c r="AV151" s="275" t="s">
        <v>924</v>
      </c>
      <c r="AW151" s="281">
        <v>15</v>
      </c>
      <c r="AY151" s="314"/>
      <c r="AZ151" s="458"/>
      <c r="BA151" s="275" t="s">
        <v>924</v>
      </c>
      <c r="BB151" s="281">
        <v>15</v>
      </c>
      <c r="BD151" s="314"/>
      <c r="BF151" s="275" t="s">
        <v>924</v>
      </c>
      <c r="BG151" s="281">
        <v>15</v>
      </c>
      <c r="BI151" s="314"/>
      <c r="BJ151" s="458"/>
      <c r="BL151" s="275" t="s">
        <v>924</v>
      </c>
      <c r="BM151" s="281">
        <v>15</v>
      </c>
      <c r="BO151" s="314"/>
      <c r="BQ151" s="275" t="s">
        <v>924</v>
      </c>
      <c r="BR151" s="281">
        <v>15</v>
      </c>
      <c r="BT151" s="314"/>
      <c r="BV151" s="275" t="s">
        <v>924</v>
      </c>
      <c r="BW151" s="281">
        <v>15</v>
      </c>
      <c r="BY151" s="314"/>
      <c r="CA151" s="275" t="s">
        <v>924</v>
      </c>
      <c r="CB151" s="281">
        <v>15</v>
      </c>
      <c r="CD151" s="314"/>
      <c r="CF151" s="275" t="s">
        <v>924</v>
      </c>
      <c r="CG151" s="281">
        <v>15</v>
      </c>
      <c r="CI151" s="314"/>
      <c r="CK151" s="275" t="s">
        <v>924</v>
      </c>
      <c r="CL151" s="281">
        <v>15</v>
      </c>
      <c r="CN151" s="314"/>
      <c r="CP151" s="275" t="s">
        <v>924</v>
      </c>
      <c r="CQ151" s="281">
        <v>15</v>
      </c>
      <c r="CS151" s="314"/>
      <c r="CU151" s="275" t="s">
        <v>924</v>
      </c>
      <c r="CV151" s="281">
        <v>15</v>
      </c>
      <c r="CX151" s="314"/>
      <c r="CZ151" s="275" t="s">
        <v>769</v>
      </c>
      <c r="DA151" s="281">
        <v>15</v>
      </c>
      <c r="DC151" s="314"/>
    </row>
    <row r="152" spans="1:118" x14ac:dyDescent="0.15">
      <c r="A152" s="272"/>
      <c r="B152" s="566" t="s">
        <v>925</v>
      </c>
      <c r="C152" s="1137">
        <f>IF(NOT(Dashboard!E91=""),Dashboard!E91,IF(AND(D152="",F152=""),"",IF(F152="",D152+E152,F152)))</f>
        <v>2.7</v>
      </c>
      <c r="D152" s="587" cm="1">
        <f t="array" ref="D152">IF(INDEX(152:152,$F$2)="","", INDEX(152:152, $F$2))</f>
        <v>2.7</v>
      </c>
      <c r="E152" s="1115"/>
      <c r="F152" s="565"/>
      <c r="G152" s="315"/>
      <c r="M152" s="275" t="s">
        <v>926</v>
      </c>
      <c r="N152" s="281">
        <v>2.7</v>
      </c>
      <c r="O152" s="258"/>
      <c r="P152" s="316"/>
      <c r="R152" s="275" t="s">
        <v>926</v>
      </c>
      <c r="S152" s="281">
        <v>2.7</v>
      </c>
      <c r="T152" s="258"/>
      <c r="U152" s="316"/>
      <c r="W152" s="275" t="s">
        <v>926</v>
      </c>
      <c r="X152" s="281">
        <v>2.7</v>
      </c>
      <c r="Z152" s="316"/>
      <c r="AB152" s="275" t="s">
        <v>926</v>
      </c>
      <c r="AC152" s="281">
        <v>2.7</v>
      </c>
      <c r="AE152" s="316"/>
      <c r="AF152" s="459"/>
      <c r="AG152" s="275" t="s">
        <v>926</v>
      </c>
      <c r="AH152" s="281">
        <v>2.7</v>
      </c>
      <c r="AJ152" s="316"/>
      <c r="AL152" s="275" t="s">
        <v>926</v>
      </c>
      <c r="AM152" s="281">
        <v>2.7</v>
      </c>
      <c r="AO152" s="316"/>
      <c r="AQ152" s="275" t="s">
        <v>926</v>
      </c>
      <c r="AR152" s="281">
        <v>2.7</v>
      </c>
      <c r="AT152" s="316"/>
      <c r="AV152" s="275" t="s">
        <v>926</v>
      </c>
      <c r="AW152" s="281">
        <v>2.7</v>
      </c>
      <c r="AY152" s="316"/>
      <c r="AZ152" s="459"/>
      <c r="BA152" s="275" t="s">
        <v>926</v>
      </c>
      <c r="BB152" s="281">
        <v>2.7</v>
      </c>
      <c r="BD152" s="316"/>
      <c r="BF152" s="275" t="s">
        <v>926</v>
      </c>
      <c r="BG152" s="281">
        <v>2.7</v>
      </c>
      <c r="BI152" s="316"/>
      <c r="BJ152" s="459"/>
      <c r="BL152" s="275" t="s">
        <v>926</v>
      </c>
      <c r="BM152" s="281">
        <v>2.7</v>
      </c>
      <c r="BO152" s="316"/>
      <c r="BQ152" s="275" t="s">
        <v>926</v>
      </c>
      <c r="BR152" s="281">
        <v>2.7</v>
      </c>
      <c r="BT152" s="316"/>
      <c r="BV152" s="275" t="s">
        <v>926</v>
      </c>
      <c r="BW152" s="281">
        <v>2.7</v>
      </c>
      <c r="BY152" s="316"/>
      <c r="CA152" s="275" t="s">
        <v>926</v>
      </c>
      <c r="CB152" s="281">
        <v>2.7</v>
      </c>
      <c r="CD152" s="316"/>
      <c r="CF152" s="275" t="s">
        <v>926</v>
      </c>
      <c r="CG152" s="281">
        <v>2.7</v>
      </c>
      <c r="CI152" s="316"/>
      <c r="CK152" s="275" t="s">
        <v>926</v>
      </c>
      <c r="CL152" s="281">
        <v>2.7</v>
      </c>
      <c r="CN152" s="316"/>
      <c r="CP152" s="275" t="s">
        <v>926</v>
      </c>
      <c r="CQ152" s="281">
        <v>2.7</v>
      </c>
      <c r="CS152" s="316"/>
      <c r="CU152" s="275" t="s">
        <v>926</v>
      </c>
      <c r="CV152" s="281">
        <v>2.7</v>
      </c>
      <c r="CX152" s="316"/>
      <c r="CZ152" s="275" t="s">
        <v>926</v>
      </c>
      <c r="DA152" s="281">
        <v>2.7</v>
      </c>
      <c r="DC152" s="316"/>
    </row>
    <row r="153" spans="1:118" x14ac:dyDescent="0.15">
      <c r="A153" s="272"/>
      <c r="B153" s="566"/>
      <c r="C153" s="586"/>
      <c r="D153" s="587"/>
      <c r="E153" s="587"/>
      <c r="F153" s="565"/>
      <c r="G153" s="315"/>
      <c r="M153" s="275"/>
      <c r="N153" s="281"/>
      <c r="O153" s="258"/>
      <c r="P153" s="316"/>
      <c r="R153" s="275"/>
      <c r="S153" s="281"/>
      <c r="T153" s="258"/>
      <c r="U153" s="316"/>
      <c r="W153" s="275"/>
      <c r="X153" s="281"/>
      <c r="Z153" s="316"/>
      <c r="AB153" s="275"/>
      <c r="AC153" s="281"/>
      <c r="AE153" s="316"/>
      <c r="AF153" s="459"/>
      <c r="AG153" s="275"/>
      <c r="AH153" s="281"/>
      <c r="AJ153" s="316"/>
      <c r="AL153" s="275"/>
      <c r="AM153" s="281"/>
      <c r="AO153" s="316"/>
      <c r="AQ153" s="275"/>
      <c r="AR153" s="281"/>
      <c r="AT153" s="316"/>
      <c r="AV153" s="275"/>
      <c r="AW153" s="281"/>
      <c r="AY153" s="316"/>
      <c r="AZ153" s="459"/>
      <c r="BA153" s="275"/>
      <c r="BB153" s="281"/>
      <c r="BD153" s="316"/>
      <c r="BF153" s="275"/>
      <c r="BG153" s="281"/>
      <c r="BI153" s="316"/>
      <c r="BJ153" s="459"/>
      <c r="BL153" s="275"/>
      <c r="BM153" s="281"/>
      <c r="BO153" s="316"/>
      <c r="BQ153" s="275"/>
      <c r="BR153" s="281"/>
      <c r="BT153" s="316"/>
      <c r="BV153" s="275"/>
      <c r="BW153" s="281"/>
      <c r="BY153" s="316"/>
      <c r="CA153" s="275"/>
      <c r="CB153" s="281"/>
      <c r="CD153" s="316"/>
      <c r="CF153" s="275"/>
      <c r="CG153" s="281"/>
      <c r="CI153" s="316"/>
      <c r="CK153" s="275"/>
      <c r="CL153" s="281"/>
      <c r="CN153" s="316"/>
      <c r="CP153" s="275"/>
      <c r="CQ153" s="284"/>
      <c r="CS153" s="316"/>
      <c r="CU153" s="275"/>
      <c r="CV153" s="281"/>
      <c r="CX153" s="316"/>
      <c r="CZ153" s="275"/>
      <c r="DA153" s="281"/>
      <c r="DC153" s="316"/>
    </row>
    <row r="154" spans="1:118" ht="16" x14ac:dyDescent="0.2">
      <c r="A154" s="272"/>
      <c r="B154" s="591" t="s">
        <v>927</v>
      </c>
      <c r="C154" s="586"/>
      <c r="D154" s="587"/>
      <c r="E154" s="587"/>
      <c r="F154" s="565"/>
      <c r="G154" s="317"/>
      <c r="M154" s="285" t="s">
        <v>927</v>
      </c>
      <c r="N154" s="281"/>
      <c r="O154" s="258"/>
      <c r="P154" s="318"/>
      <c r="R154" s="285" t="s">
        <v>927</v>
      </c>
      <c r="S154" s="281"/>
      <c r="T154" s="258"/>
      <c r="U154" s="318"/>
      <c r="W154" s="285" t="s">
        <v>927</v>
      </c>
      <c r="X154" s="281"/>
      <c r="Z154" s="318"/>
      <c r="AB154" s="285" t="s">
        <v>927</v>
      </c>
      <c r="AC154" s="281"/>
      <c r="AE154" s="318"/>
      <c r="AF154" s="460"/>
      <c r="AG154" s="285" t="s">
        <v>927</v>
      </c>
      <c r="AH154" s="281"/>
      <c r="AJ154" s="318"/>
      <c r="AL154" s="285" t="s">
        <v>927</v>
      </c>
      <c r="AM154" s="281"/>
      <c r="AO154" s="318"/>
      <c r="AQ154" s="285" t="s">
        <v>927</v>
      </c>
      <c r="AR154" s="281"/>
      <c r="AT154" s="318"/>
      <c r="AV154" s="285" t="s">
        <v>927</v>
      </c>
      <c r="AW154" s="281"/>
      <c r="AY154" s="318"/>
      <c r="AZ154" s="460"/>
      <c r="BA154" s="285" t="s">
        <v>927</v>
      </c>
      <c r="BB154" s="281"/>
      <c r="BD154" s="318"/>
      <c r="BF154" s="285" t="s">
        <v>927</v>
      </c>
      <c r="BG154" s="281"/>
      <c r="BI154" s="318"/>
      <c r="BJ154" s="460"/>
      <c r="BL154" s="285" t="s">
        <v>927</v>
      </c>
      <c r="BM154" s="281"/>
      <c r="BO154" s="318"/>
      <c r="BQ154" s="285" t="s">
        <v>927</v>
      </c>
      <c r="BR154" s="281"/>
      <c r="BT154" s="318"/>
      <c r="BV154" s="285" t="s">
        <v>927</v>
      </c>
      <c r="BW154" s="281"/>
      <c r="BY154" s="318"/>
      <c r="CA154" s="285" t="s">
        <v>927</v>
      </c>
      <c r="CB154" s="281"/>
      <c r="CD154" s="318"/>
      <c r="CF154" s="285" t="s">
        <v>927</v>
      </c>
      <c r="CG154" s="281"/>
      <c r="CI154" s="318"/>
      <c r="CK154" s="285" t="s">
        <v>927</v>
      </c>
      <c r="CL154" s="281"/>
      <c r="CN154" s="318"/>
      <c r="CP154" s="285" t="s">
        <v>927</v>
      </c>
      <c r="CQ154" s="312"/>
      <c r="CS154" s="318"/>
      <c r="CU154" s="285" t="s">
        <v>927</v>
      </c>
      <c r="CV154" s="281"/>
      <c r="CX154" s="318"/>
      <c r="CZ154" s="285" t="s">
        <v>927</v>
      </c>
      <c r="DA154" s="281"/>
      <c r="DC154" s="318"/>
    </row>
    <row r="155" spans="1:118" x14ac:dyDescent="0.15">
      <c r="A155" s="272"/>
      <c r="B155" s="567" t="s">
        <v>928</v>
      </c>
      <c r="C155" s="1137">
        <f>IF(NOT(Dashboard!E94=""),Dashboard!E94,IF(AND(D155="",F155=""),"",IF(F155="",D155+E155,F155)))</f>
        <v>9</v>
      </c>
      <c r="D155" s="587" cm="1">
        <f t="array" ref="D155">IF(INDEX(155:155,$F$2)="","", INDEX(155:155, $F$2))</f>
        <v>9</v>
      </c>
      <c r="E155" s="1115">
        <f>Lists!O192</f>
        <v>0</v>
      </c>
      <c r="F155" s="565"/>
      <c r="G155" s="297"/>
      <c r="M155" s="275" t="s">
        <v>735</v>
      </c>
      <c r="N155" s="281">
        <v>9</v>
      </c>
      <c r="O155" s="258"/>
      <c r="P155" s="276"/>
      <c r="R155" s="275" t="s">
        <v>735</v>
      </c>
      <c r="S155" s="281">
        <v>9</v>
      </c>
      <c r="T155" s="258"/>
      <c r="U155" s="276"/>
      <c r="W155" s="275" t="s">
        <v>735</v>
      </c>
      <c r="X155" s="281">
        <v>9</v>
      </c>
      <c r="Z155" s="276"/>
      <c r="AB155" s="275" t="s">
        <v>735</v>
      </c>
      <c r="AC155" s="281">
        <v>9</v>
      </c>
      <c r="AE155" s="276"/>
      <c r="AG155" s="275" t="s">
        <v>735</v>
      </c>
      <c r="AH155" s="281">
        <v>9</v>
      </c>
      <c r="AJ155" s="276"/>
      <c r="AL155" s="275" t="s">
        <v>735</v>
      </c>
      <c r="AM155" s="281">
        <v>9</v>
      </c>
      <c r="AO155" s="276"/>
      <c r="AQ155" s="275" t="s">
        <v>735</v>
      </c>
      <c r="AR155" s="281">
        <v>9</v>
      </c>
      <c r="AT155" s="276"/>
      <c r="AV155" s="275" t="s">
        <v>735</v>
      </c>
      <c r="AW155" s="281">
        <v>9</v>
      </c>
      <c r="AY155" s="276"/>
      <c r="BA155" s="275" t="s">
        <v>735</v>
      </c>
      <c r="BB155" s="281">
        <v>9</v>
      </c>
      <c r="BD155" s="276"/>
      <c r="BF155" s="275" t="s">
        <v>735</v>
      </c>
      <c r="BG155" s="281">
        <v>9</v>
      </c>
      <c r="BI155" s="276"/>
      <c r="BL155" s="275" t="s">
        <v>735</v>
      </c>
      <c r="BM155" s="281">
        <v>9</v>
      </c>
      <c r="BO155" s="276"/>
      <c r="BQ155" s="275" t="s">
        <v>735</v>
      </c>
      <c r="BR155" s="281">
        <v>9</v>
      </c>
      <c r="BT155" s="276"/>
      <c r="BV155" s="275" t="s">
        <v>735</v>
      </c>
      <c r="BW155" s="281">
        <v>9</v>
      </c>
      <c r="BY155" s="276"/>
      <c r="CA155" s="275" t="s">
        <v>735</v>
      </c>
      <c r="CB155" s="281">
        <v>9</v>
      </c>
      <c r="CD155" s="276"/>
      <c r="CF155" s="275" t="s">
        <v>735</v>
      </c>
      <c r="CG155" s="281">
        <v>9</v>
      </c>
      <c r="CI155" s="276"/>
      <c r="CK155" s="275" t="s">
        <v>735</v>
      </c>
      <c r="CL155" s="281">
        <v>9</v>
      </c>
      <c r="CN155" s="276"/>
      <c r="CP155" s="275" t="s">
        <v>735</v>
      </c>
      <c r="CQ155" s="281" cm="1">
        <f t="array" ref="CQ155">INDEX(155:155, $CS$10)*$CS$8 + INDEX(155:155, $CS$11)*(1-$CS$8)</f>
        <v>9</v>
      </c>
      <c r="CS155" s="276"/>
      <c r="CU155" s="275" t="s">
        <v>735</v>
      </c>
      <c r="CV155" s="281">
        <v>15</v>
      </c>
      <c r="CX155" s="276"/>
      <c r="CZ155" s="275" t="s">
        <v>735</v>
      </c>
      <c r="DA155" s="281">
        <v>15</v>
      </c>
      <c r="DC155" s="276"/>
    </row>
    <row r="156" spans="1:118" x14ac:dyDescent="0.15">
      <c r="A156" s="272"/>
      <c r="B156" s="567" t="s">
        <v>929</v>
      </c>
      <c r="C156" s="1137">
        <f>IF(NOT(Dashboard!E95=""),Dashboard!E95,IF(AND(D156="",F156=""),"",IF(F156="",D156+E156,F156)))</f>
        <v>7</v>
      </c>
      <c r="D156" s="587" cm="1">
        <f t="array" ref="D156">IF(INDEX(156:156,$F$2)="","", INDEX(156:156, $F$2))</f>
        <v>7</v>
      </c>
      <c r="E156" s="1115"/>
      <c r="F156" s="565"/>
      <c r="G156" s="297"/>
      <c r="M156" s="275" t="s">
        <v>767</v>
      </c>
      <c r="N156" s="281">
        <v>7</v>
      </c>
      <c r="O156" s="258"/>
      <c r="P156" s="276"/>
      <c r="R156" s="275" t="s">
        <v>767</v>
      </c>
      <c r="S156" s="281">
        <v>7</v>
      </c>
      <c r="T156" s="258"/>
      <c r="U156" s="276"/>
      <c r="W156" s="275" t="s">
        <v>767</v>
      </c>
      <c r="X156" s="281">
        <v>7</v>
      </c>
      <c r="Z156" s="276"/>
      <c r="AB156" s="275" t="s">
        <v>767</v>
      </c>
      <c r="AC156" s="281">
        <v>7</v>
      </c>
      <c r="AE156" s="276"/>
      <c r="AG156" s="275" t="s">
        <v>767</v>
      </c>
      <c r="AH156" s="281">
        <v>7</v>
      </c>
      <c r="AJ156" s="276"/>
      <c r="AL156" s="275" t="s">
        <v>767</v>
      </c>
      <c r="AM156" s="281">
        <v>7</v>
      </c>
      <c r="AO156" s="276"/>
      <c r="AQ156" s="275" t="s">
        <v>767</v>
      </c>
      <c r="AR156" s="281">
        <v>7</v>
      </c>
      <c r="AT156" s="276"/>
      <c r="AV156" s="275" t="s">
        <v>767</v>
      </c>
      <c r="AW156" s="281">
        <v>7</v>
      </c>
      <c r="AY156" s="276"/>
      <c r="BA156" s="275" t="s">
        <v>767</v>
      </c>
      <c r="BB156" s="281">
        <v>7</v>
      </c>
      <c r="BD156" s="276"/>
      <c r="BF156" s="275" t="s">
        <v>767</v>
      </c>
      <c r="BG156" s="281">
        <v>7</v>
      </c>
      <c r="BI156" s="276"/>
      <c r="BL156" s="275" t="s">
        <v>767</v>
      </c>
      <c r="BM156" s="281">
        <v>7</v>
      </c>
      <c r="BO156" s="276"/>
      <c r="BQ156" s="275" t="s">
        <v>767</v>
      </c>
      <c r="BR156" s="281">
        <v>7</v>
      </c>
      <c r="BT156" s="276"/>
      <c r="BV156" s="275" t="s">
        <v>767</v>
      </c>
      <c r="BW156" s="281">
        <v>7</v>
      </c>
      <c r="BY156" s="276"/>
      <c r="CA156" s="275" t="s">
        <v>767</v>
      </c>
      <c r="CB156" s="281">
        <v>7</v>
      </c>
      <c r="CD156" s="276"/>
      <c r="CF156" s="275" t="s">
        <v>767</v>
      </c>
      <c r="CG156" s="281">
        <v>7</v>
      </c>
      <c r="CI156" s="276"/>
      <c r="CK156" s="275" t="s">
        <v>767</v>
      </c>
      <c r="CL156" s="281">
        <v>7</v>
      </c>
      <c r="CN156" s="276"/>
      <c r="CP156" s="275" t="s">
        <v>767</v>
      </c>
      <c r="CQ156" s="281">
        <v>7</v>
      </c>
      <c r="CS156" s="276"/>
      <c r="CU156" s="275" t="s">
        <v>767</v>
      </c>
      <c r="CV156" s="281">
        <v>7</v>
      </c>
      <c r="CX156" s="276"/>
      <c r="CZ156" s="275" t="s">
        <v>767</v>
      </c>
      <c r="DA156" s="281">
        <v>7</v>
      </c>
      <c r="DC156" s="276"/>
    </row>
    <row r="157" spans="1:118" x14ac:dyDescent="0.15">
      <c r="A157" s="272"/>
      <c r="B157" s="566" t="s">
        <v>930</v>
      </c>
      <c r="C157" s="1137">
        <f>IF(NOT(Dashboard!E96=""),Dashboard!E96,IF(AND(D157="",F157=""),"",IF(F157="",D157+E157,F157)))</f>
        <v>10</v>
      </c>
      <c r="D157" s="587" cm="1">
        <f t="array" ref="D157">IF(INDEX(157:157,$F$2)="","", INDEX(157:157, $F$2))</f>
        <v>10</v>
      </c>
      <c r="E157" s="1115"/>
      <c r="F157" s="565"/>
      <c r="G157" s="297"/>
      <c r="M157" s="275" t="s">
        <v>769</v>
      </c>
      <c r="N157" s="281">
        <v>10</v>
      </c>
      <c r="O157" s="258"/>
      <c r="P157" s="276"/>
      <c r="R157" s="275" t="s">
        <v>769</v>
      </c>
      <c r="S157" s="281">
        <v>10</v>
      </c>
      <c r="T157" s="258"/>
      <c r="U157" s="276"/>
      <c r="W157" s="275" t="s">
        <v>769</v>
      </c>
      <c r="X157" s="281">
        <v>10</v>
      </c>
      <c r="Z157" s="276"/>
      <c r="AB157" s="275" t="s">
        <v>769</v>
      </c>
      <c r="AC157" s="281">
        <v>10</v>
      </c>
      <c r="AE157" s="276"/>
      <c r="AG157" s="275" t="s">
        <v>769</v>
      </c>
      <c r="AH157" s="281">
        <v>10</v>
      </c>
      <c r="AJ157" s="276"/>
      <c r="AL157" s="275" t="s">
        <v>769</v>
      </c>
      <c r="AM157" s="281">
        <v>10</v>
      </c>
      <c r="AO157" s="276"/>
      <c r="AQ157" s="275" t="s">
        <v>769</v>
      </c>
      <c r="AR157" s="281">
        <v>10</v>
      </c>
      <c r="AT157" s="276"/>
      <c r="AV157" s="275" t="s">
        <v>769</v>
      </c>
      <c r="AW157" s="281">
        <v>10</v>
      </c>
      <c r="AY157" s="276"/>
      <c r="BA157" s="275" t="s">
        <v>769</v>
      </c>
      <c r="BB157" s="281">
        <v>10</v>
      </c>
      <c r="BD157" s="276"/>
      <c r="BF157" s="275" t="s">
        <v>769</v>
      </c>
      <c r="BG157" s="281">
        <v>10</v>
      </c>
      <c r="BI157" s="276"/>
      <c r="BL157" s="275" t="s">
        <v>769</v>
      </c>
      <c r="BM157" s="281">
        <v>10</v>
      </c>
      <c r="BO157" s="276"/>
      <c r="BQ157" s="275" t="s">
        <v>769</v>
      </c>
      <c r="BR157" s="281">
        <v>10</v>
      </c>
      <c r="BT157" s="276"/>
      <c r="BV157" s="275" t="s">
        <v>769</v>
      </c>
      <c r="BW157" s="281">
        <v>10</v>
      </c>
      <c r="BY157" s="276"/>
      <c r="CA157" s="275" t="s">
        <v>769</v>
      </c>
      <c r="CB157" s="281">
        <v>10</v>
      </c>
      <c r="CD157" s="276"/>
      <c r="CF157" s="275" t="s">
        <v>769</v>
      </c>
      <c r="CG157" s="281">
        <v>10</v>
      </c>
      <c r="CI157" s="276"/>
      <c r="CK157" s="275" t="s">
        <v>769</v>
      </c>
      <c r="CL157" s="281">
        <v>10</v>
      </c>
      <c r="CN157" s="276"/>
      <c r="CP157" s="275" t="s">
        <v>769</v>
      </c>
      <c r="CQ157" s="281">
        <v>10</v>
      </c>
      <c r="CS157" s="276"/>
      <c r="CU157" s="275" t="s">
        <v>769</v>
      </c>
      <c r="CV157" s="281">
        <v>15</v>
      </c>
      <c r="CX157" s="276"/>
      <c r="CZ157" s="275" t="s">
        <v>769</v>
      </c>
      <c r="DA157" s="281">
        <v>15</v>
      </c>
      <c r="DC157" s="276"/>
    </row>
    <row r="158" spans="1:118" x14ac:dyDescent="0.15">
      <c r="A158" s="272"/>
      <c r="B158" s="566" t="s">
        <v>931</v>
      </c>
      <c r="C158" s="1137">
        <f>IF(NOT(Dashboard!E97=""),Dashboard!E97,IF(AND(D158="",F158=""),"",IF(F158="",D158+E158,F158)))</f>
        <v>0</v>
      </c>
      <c r="D158" s="587" cm="1">
        <f t="array" ref="D158">IF(INDEX(158:158,$F$2)="","", INDEX(158:158, $F$2))</f>
        <v>0</v>
      </c>
      <c r="E158" s="1115"/>
      <c r="F158" s="565"/>
      <c r="G158" s="297"/>
      <c r="M158" s="275" t="s">
        <v>761</v>
      </c>
      <c r="N158" s="281">
        <v>0</v>
      </c>
      <c r="O158" s="258"/>
      <c r="P158" s="276"/>
      <c r="R158" s="275" t="s">
        <v>761</v>
      </c>
      <c r="S158" s="281">
        <v>0</v>
      </c>
      <c r="T158" s="258"/>
      <c r="U158" s="276"/>
      <c r="W158" s="275" t="s">
        <v>761</v>
      </c>
      <c r="X158" s="281">
        <v>0</v>
      </c>
      <c r="Z158" s="276"/>
      <c r="AB158" s="275" t="s">
        <v>761</v>
      </c>
      <c r="AC158" s="281">
        <v>0</v>
      </c>
      <c r="AE158" s="276"/>
      <c r="AG158" s="275" t="s">
        <v>761</v>
      </c>
      <c r="AH158" s="281">
        <v>0</v>
      </c>
      <c r="AJ158" s="276"/>
      <c r="AL158" s="275" t="s">
        <v>761</v>
      </c>
      <c r="AM158" s="281">
        <v>0</v>
      </c>
      <c r="AO158" s="276"/>
      <c r="AQ158" s="275" t="s">
        <v>761</v>
      </c>
      <c r="AR158" s="281">
        <v>0</v>
      </c>
      <c r="AT158" s="276"/>
      <c r="AV158" s="275" t="s">
        <v>761</v>
      </c>
      <c r="AW158" s="281">
        <v>0</v>
      </c>
      <c r="AY158" s="276"/>
      <c r="BA158" s="275" t="s">
        <v>761</v>
      </c>
      <c r="BB158" s="281">
        <v>0</v>
      </c>
      <c r="BD158" s="276"/>
      <c r="BF158" s="275" t="s">
        <v>761</v>
      </c>
      <c r="BG158" s="281">
        <v>0</v>
      </c>
      <c r="BI158" s="276"/>
      <c r="BL158" s="275" t="s">
        <v>761</v>
      </c>
      <c r="BM158" s="281">
        <v>0</v>
      </c>
      <c r="BO158" s="276"/>
      <c r="BQ158" s="275" t="s">
        <v>761</v>
      </c>
      <c r="BR158" s="281">
        <v>0</v>
      </c>
      <c r="BT158" s="276"/>
      <c r="BV158" s="275" t="s">
        <v>761</v>
      </c>
      <c r="BW158" s="281">
        <v>0</v>
      </c>
      <c r="BY158" s="276"/>
      <c r="CA158" s="275" t="s">
        <v>761</v>
      </c>
      <c r="CB158" s="281">
        <v>0</v>
      </c>
      <c r="CD158" s="276"/>
      <c r="CF158" s="275" t="s">
        <v>761</v>
      </c>
      <c r="CG158" s="281">
        <v>0</v>
      </c>
      <c r="CI158" s="276"/>
      <c r="CK158" s="275" t="s">
        <v>761</v>
      </c>
      <c r="CL158" s="281">
        <v>0</v>
      </c>
      <c r="CN158" s="276"/>
      <c r="CP158" s="275" t="s">
        <v>761</v>
      </c>
      <c r="CQ158" s="281">
        <v>0</v>
      </c>
      <c r="CS158" s="276"/>
      <c r="CU158" s="275" t="s">
        <v>761</v>
      </c>
      <c r="CV158" s="281">
        <v>2.7</v>
      </c>
      <c r="CX158" s="276"/>
      <c r="CZ158" s="275" t="s">
        <v>761</v>
      </c>
      <c r="DA158" s="281">
        <v>2.7</v>
      </c>
      <c r="DC158" s="276"/>
    </row>
    <row r="159" spans="1:118" x14ac:dyDescent="0.15">
      <c r="A159" s="272"/>
      <c r="B159" s="566"/>
      <c r="C159" s="586"/>
      <c r="D159" s="587"/>
      <c r="E159" s="587"/>
      <c r="F159" s="565"/>
      <c r="G159" s="297"/>
      <c r="M159" s="275"/>
      <c r="N159" s="281"/>
      <c r="O159" s="258"/>
      <c r="P159" s="276"/>
      <c r="R159" s="275"/>
      <c r="S159" s="281"/>
      <c r="T159" s="258"/>
      <c r="U159" s="276"/>
      <c r="W159" s="275"/>
      <c r="X159" s="281"/>
      <c r="Z159" s="276"/>
      <c r="AB159" s="275"/>
      <c r="AC159" s="281"/>
      <c r="AE159" s="276"/>
      <c r="AG159" s="275"/>
      <c r="AH159" s="281"/>
      <c r="AJ159" s="276"/>
      <c r="AL159" s="275"/>
      <c r="AM159" s="281"/>
      <c r="AO159" s="276"/>
      <c r="AQ159" s="275"/>
      <c r="AR159" s="281"/>
      <c r="AT159" s="276"/>
      <c r="AV159" s="275"/>
      <c r="AW159" s="281"/>
      <c r="AY159" s="276"/>
      <c r="BA159" s="275"/>
      <c r="BB159" s="281"/>
      <c r="BD159" s="276"/>
      <c r="BF159" s="275"/>
      <c r="BG159" s="281"/>
      <c r="BI159" s="276"/>
      <c r="BL159" s="275"/>
      <c r="BM159" s="281"/>
      <c r="BO159" s="276"/>
      <c r="BQ159" s="275"/>
      <c r="BR159" s="281"/>
      <c r="BT159" s="276"/>
      <c r="BV159" s="275"/>
      <c r="BW159" s="281"/>
      <c r="BY159" s="276"/>
      <c r="CA159" s="275"/>
      <c r="CB159" s="281"/>
      <c r="CD159" s="276"/>
      <c r="CF159" s="275"/>
      <c r="CG159" s="281"/>
      <c r="CI159" s="276"/>
      <c r="CK159" s="275"/>
      <c r="CL159" s="281"/>
      <c r="CN159" s="276"/>
      <c r="CP159" s="275"/>
      <c r="CQ159" s="281"/>
      <c r="CS159" s="276"/>
      <c r="CU159" s="275"/>
      <c r="CV159" s="281"/>
      <c r="CX159" s="276"/>
      <c r="CZ159" s="275"/>
      <c r="DA159" s="281"/>
      <c r="DC159" s="276"/>
    </row>
    <row r="160" spans="1:118" ht="16" x14ac:dyDescent="0.2">
      <c r="A160" s="272"/>
      <c r="B160" s="591" t="s">
        <v>932</v>
      </c>
      <c r="C160" s="586"/>
      <c r="D160" s="587"/>
      <c r="E160" s="587"/>
      <c r="F160" s="565"/>
      <c r="G160" s="297"/>
      <c r="M160" s="285" t="s">
        <v>932</v>
      </c>
      <c r="N160" s="281"/>
      <c r="O160" s="258"/>
      <c r="P160" s="276"/>
      <c r="R160" s="285" t="s">
        <v>932</v>
      </c>
      <c r="S160" s="281"/>
      <c r="T160" s="258"/>
      <c r="U160" s="276"/>
      <c r="W160" s="285" t="s">
        <v>932</v>
      </c>
      <c r="X160" s="281"/>
      <c r="Z160" s="276"/>
      <c r="AB160" s="285" t="s">
        <v>932</v>
      </c>
      <c r="AC160" s="281"/>
      <c r="AE160" s="276"/>
      <c r="AG160" s="285" t="s">
        <v>932</v>
      </c>
      <c r="AH160" s="281"/>
      <c r="AJ160" s="276"/>
      <c r="AL160" s="285" t="s">
        <v>932</v>
      </c>
      <c r="AM160" s="281"/>
      <c r="AO160" s="276"/>
      <c r="AQ160" s="285" t="s">
        <v>932</v>
      </c>
      <c r="AR160" s="281"/>
      <c r="AT160" s="276"/>
      <c r="AV160" s="285" t="s">
        <v>932</v>
      </c>
      <c r="AW160" s="281"/>
      <c r="AY160" s="276"/>
      <c r="BA160" s="285" t="s">
        <v>932</v>
      </c>
      <c r="BB160" s="281"/>
      <c r="BD160" s="276"/>
      <c r="BF160" s="285" t="s">
        <v>932</v>
      </c>
      <c r="BG160" s="281"/>
      <c r="BI160" s="276"/>
      <c r="BL160" s="285" t="s">
        <v>932</v>
      </c>
      <c r="BM160" s="281"/>
      <c r="BO160" s="276"/>
      <c r="BQ160" s="285" t="s">
        <v>932</v>
      </c>
      <c r="BR160" s="281"/>
      <c r="BT160" s="276"/>
      <c r="BV160" s="285" t="s">
        <v>932</v>
      </c>
      <c r="BW160" s="281"/>
      <c r="BY160" s="276"/>
      <c r="CA160" s="285" t="s">
        <v>932</v>
      </c>
      <c r="CB160" s="281"/>
      <c r="CD160" s="276"/>
      <c r="CF160" s="285" t="s">
        <v>932</v>
      </c>
      <c r="CG160" s="281"/>
      <c r="CI160" s="276"/>
      <c r="CK160" s="285" t="s">
        <v>932</v>
      </c>
      <c r="CL160" s="281"/>
      <c r="CN160" s="276"/>
      <c r="CP160" s="285" t="s">
        <v>932</v>
      </c>
      <c r="CQ160" s="281"/>
      <c r="CS160" s="276"/>
      <c r="CU160" s="285" t="s">
        <v>932</v>
      </c>
      <c r="CV160" s="281"/>
      <c r="CX160" s="276"/>
      <c r="CZ160" s="285" t="s">
        <v>932</v>
      </c>
      <c r="DA160" s="281"/>
      <c r="DC160" s="276"/>
    </row>
    <row r="161" spans="1:107" ht="15" x14ac:dyDescent="0.15">
      <c r="A161" s="272"/>
      <c r="B161" s="566" t="s">
        <v>933</v>
      </c>
      <c r="C161" s="1137">
        <f>IF(NOT(Dashboard!E99=""),Dashboard!E99,IF(AND(D161="",F161=""),"",IF(F161="",D161+E161,F161)))</f>
        <v>0.2</v>
      </c>
      <c r="D161" s="587" cm="1">
        <f t="array" ref="D161">IF(INDEX(161:161,$F$2)="","", INDEX(161:161, $F$2))</f>
        <v>0.2</v>
      </c>
      <c r="E161" s="1115"/>
      <c r="F161" s="565"/>
      <c r="G161" s="297"/>
      <c r="M161" s="275" t="s">
        <v>934</v>
      </c>
      <c r="N161" s="281">
        <v>0.2</v>
      </c>
      <c r="O161" s="258"/>
      <c r="P161" s="276"/>
      <c r="R161" s="275" t="s">
        <v>934</v>
      </c>
      <c r="S161" s="281">
        <v>0.2</v>
      </c>
      <c r="T161" s="258"/>
      <c r="U161" s="276"/>
      <c r="W161" s="275" t="s">
        <v>934</v>
      </c>
      <c r="X161" s="281">
        <v>0.2</v>
      </c>
      <c r="Z161" s="276"/>
      <c r="AB161" s="275" t="s">
        <v>934</v>
      </c>
      <c r="AC161" s="281">
        <v>0.2</v>
      </c>
      <c r="AE161" s="276"/>
      <c r="AG161" s="275" t="s">
        <v>934</v>
      </c>
      <c r="AH161" s="281">
        <v>0.2</v>
      </c>
      <c r="AJ161" s="276"/>
      <c r="AL161" s="275" t="s">
        <v>934</v>
      </c>
      <c r="AM161" s="281">
        <v>0.2</v>
      </c>
      <c r="AO161" s="276"/>
      <c r="AQ161" s="275" t="s">
        <v>934</v>
      </c>
      <c r="AR161" s="281">
        <v>0.2</v>
      </c>
      <c r="AT161" s="276"/>
      <c r="AV161" s="275" t="s">
        <v>934</v>
      </c>
      <c r="AW161" s="281">
        <v>0.2</v>
      </c>
      <c r="AY161" s="276"/>
      <c r="BA161" s="275" t="s">
        <v>934</v>
      </c>
      <c r="BB161" s="281">
        <v>0.2</v>
      </c>
      <c r="BD161" s="276"/>
      <c r="BF161" s="275" t="s">
        <v>934</v>
      </c>
      <c r="BG161" s="281">
        <v>0.2</v>
      </c>
      <c r="BI161" s="276"/>
      <c r="BL161" s="275" t="s">
        <v>934</v>
      </c>
      <c r="BM161" s="281">
        <v>0.2</v>
      </c>
      <c r="BO161" s="276"/>
      <c r="BQ161" s="275" t="s">
        <v>934</v>
      </c>
      <c r="BR161" s="281">
        <v>0.2</v>
      </c>
      <c r="BT161" s="276"/>
      <c r="BV161" s="275" t="s">
        <v>934</v>
      </c>
      <c r="BW161" s="281">
        <v>0.2</v>
      </c>
      <c r="BY161" s="276"/>
      <c r="CA161" s="275" t="s">
        <v>934</v>
      </c>
      <c r="CB161" s="281">
        <v>0.2</v>
      </c>
      <c r="CD161" s="276"/>
      <c r="CF161" s="275" t="s">
        <v>934</v>
      </c>
      <c r="CG161" s="281">
        <v>0.2</v>
      </c>
      <c r="CI161" s="276"/>
      <c r="CK161" s="275" t="s">
        <v>934</v>
      </c>
      <c r="CL161" s="281">
        <v>0.2</v>
      </c>
      <c r="CN161" s="276"/>
      <c r="CP161" s="275" t="s">
        <v>934</v>
      </c>
      <c r="CQ161" s="281">
        <v>0.2</v>
      </c>
      <c r="CS161" s="276"/>
      <c r="CU161" s="275" t="s">
        <v>934</v>
      </c>
      <c r="CV161" s="281">
        <v>0.2</v>
      </c>
      <c r="CX161" s="276"/>
      <c r="CZ161" s="275" t="s">
        <v>934</v>
      </c>
      <c r="DA161" s="281">
        <v>0.2</v>
      </c>
      <c r="DC161" s="276"/>
    </row>
    <row r="162" spans="1:107" ht="15" x14ac:dyDescent="0.15">
      <c r="A162" s="272"/>
      <c r="B162" s="566" t="s">
        <v>935</v>
      </c>
      <c r="C162" s="1137">
        <f>IF(NOT(Dashboard!E100=""),Dashboard!E100,IF(AND(D162="",F162=""),"",IF(F162="",D162+E162,F162)))</f>
        <v>1.2</v>
      </c>
      <c r="D162" s="587" cm="1">
        <f t="array" ref="D162">IF(INDEX(162:162,$F$2)="","", INDEX(162:162, $F$2))</f>
        <v>1.2</v>
      </c>
      <c r="E162" s="1115"/>
      <c r="F162" s="565"/>
      <c r="G162" s="297"/>
      <c r="M162" s="275" t="s">
        <v>936</v>
      </c>
      <c r="N162" s="281">
        <v>1.2</v>
      </c>
      <c r="O162" s="258"/>
      <c r="P162" s="276"/>
      <c r="R162" s="275" t="s">
        <v>936</v>
      </c>
      <c r="S162" s="281">
        <v>1.2</v>
      </c>
      <c r="T162" s="258"/>
      <c r="U162" s="276"/>
      <c r="W162" s="275" t="s">
        <v>936</v>
      </c>
      <c r="X162" s="281">
        <v>1.2</v>
      </c>
      <c r="Z162" s="276"/>
      <c r="AB162" s="275" t="s">
        <v>936</v>
      </c>
      <c r="AC162" s="281">
        <v>1.2</v>
      </c>
      <c r="AE162" s="276"/>
      <c r="AG162" s="275" t="s">
        <v>936</v>
      </c>
      <c r="AH162" s="281">
        <v>1.2</v>
      </c>
      <c r="AJ162" s="276"/>
      <c r="AL162" s="275" t="s">
        <v>936</v>
      </c>
      <c r="AM162" s="281">
        <v>1.2</v>
      </c>
      <c r="AO162" s="276"/>
      <c r="AQ162" s="275" t="s">
        <v>936</v>
      </c>
      <c r="AR162" s="281">
        <v>1.2</v>
      </c>
      <c r="AT162" s="276"/>
      <c r="AV162" s="275" t="s">
        <v>936</v>
      </c>
      <c r="AW162" s="281">
        <v>1.2</v>
      </c>
      <c r="AY162" s="276"/>
      <c r="BA162" s="275" t="s">
        <v>936</v>
      </c>
      <c r="BB162" s="281">
        <v>1.2</v>
      </c>
      <c r="BD162" s="276"/>
      <c r="BF162" s="275" t="s">
        <v>936</v>
      </c>
      <c r="BG162" s="281">
        <v>1.2</v>
      </c>
      <c r="BI162" s="276"/>
      <c r="BL162" s="275" t="s">
        <v>936</v>
      </c>
      <c r="BM162" s="281">
        <v>1.2</v>
      </c>
      <c r="BO162" s="276"/>
      <c r="BQ162" s="275" t="s">
        <v>936</v>
      </c>
      <c r="BR162" s="281">
        <v>1.2</v>
      </c>
      <c r="BT162" s="276"/>
      <c r="BV162" s="275" t="s">
        <v>936</v>
      </c>
      <c r="BW162" s="281">
        <v>1.2</v>
      </c>
      <c r="BY162" s="276"/>
      <c r="CA162" s="275" t="s">
        <v>936</v>
      </c>
      <c r="CB162" s="281">
        <v>1.2</v>
      </c>
      <c r="CD162" s="276"/>
      <c r="CF162" s="275" t="s">
        <v>936</v>
      </c>
      <c r="CG162" s="281">
        <v>1.2</v>
      </c>
      <c r="CI162" s="276"/>
      <c r="CK162" s="275" t="s">
        <v>936</v>
      </c>
      <c r="CL162" s="281">
        <v>1.2</v>
      </c>
      <c r="CN162" s="276"/>
      <c r="CP162" s="275" t="s">
        <v>936</v>
      </c>
      <c r="CQ162" s="281">
        <v>1.2</v>
      </c>
      <c r="CS162" s="276"/>
      <c r="CU162" s="275" t="s">
        <v>936</v>
      </c>
      <c r="CV162" s="281">
        <v>0.2</v>
      </c>
      <c r="CX162" s="276"/>
      <c r="CZ162" s="275" t="s">
        <v>936</v>
      </c>
      <c r="DA162" s="281">
        <v>0.2</v>
      </c>
      <c r="DC162" s="276"/>
    </row>
    <row r="163" spans="1:107" ht="15" x14ac:dyDescent="0.15">
      <c r="A163" s="272"/>
      <c r="B163" s="566" t="s">
        <v>937</v>
      </c>
      <c r="C163" s="1137">
        <f>IF(NOT(Dashboard!E101=""),Dashboard!E101,IF(AND(D163="",F163=""),"",IF(F163="",D163+E163,F163)))</f>
        <v>0.9</v>
      </c>
      <c r="D163" s="587" cm="1">
        <f t="array" ref="D163">IF(INDEX(163:163,$F$2)="","", INDEX(163:163, $F$2))</f>
        <v>0.9</v>
      </c>
      <c r="E163" s="1115"/>
      <c r="F163" s="565"/>
      <c r="G163" s="297"/>
      <c r="M163" s="275" t="s">
        <v>938</v>
      </c>
      <c r="N163" s="281">
        <v>0.9</v>
      </c>
      <c r="O163" s="258"/>
      <c r="P163" s="276"/>
      <c r="R163" s="275" t="s">
        <v>938</v>
      </c>
      <c r="S163" s="281">
        <v>0.9</v>
      </c>
      <c r="T163" s="258"/>
      <c r="U163" s="276"/>
      <c r="W163" s="275" t="s">
        <v>938</v>
      </c>
      <c r="X163" s="281">
        <v>0.9</v>
      </c>
      <c r="Z163" s="276"/>
      <c r="AB163" s="275" t="s">
        <v>938</v>
      </c>
      <c r="AC163" s="281">
        <v>0.9</v>
      </c>
      <c r="AE163" s="276"/>
      <c r="AG163" s="275" t="s">
        <v>938</v>
      </c>
      <c r="AH163" s="281">
        <v>0.9</v>
      </c>
      <c r="AJ163" s="276"/>
      <c r="AL163" s="275" t="s">
        <v>938</v>
      </c>
      <c r="AM163" s="281">
        <v>0.9</v>
      </c>
      <c r="AO163" s="276"/>
      <c r="AQ163" s="275" t="s">
        <v>938</v>
      </c>
      <c r="AR163" s="281">
        <v>0.9</v>
      </c>
      <c r="AT163" s="276"/>
      <c r="AV163" s="275" t="s">
        <v>938</v>
      </c>
      <c r="AW163" s="281">
        <v>0.9</v>
      </c>
      <c r="AY163" s="276"/>
      <c r="BA163" s="275" t="s">
        <v>938</v>
      </c>
      <c r="BB163" s="281">
        <v>0.9</v>
      </c>
      <c r="BD163" s="276"/>
      <c r="BF163" s="275" t="s">
        <v>938</v>
      </c>
      <c r="BG163" s="281">
        <v>0.9</v>
      </c>
      <c r="BI163" s="276"/>
      <c r="BL163" s="275" t="s">
        <v>938</v>
      </c>
      <c r="BM163" s="281">
        <v>0.9</v>
      </c>
      <c r="BO163" s="276"/>
      <c r="BQ163" s="275" t="s">
        <v>938</v>
      </c>
      <c r="BR163" s="281">
        <v>0.9</v>
      </c>
      <c r="BT163" s="276"/>
      <c r="BV163" s="275" t="s">
        <v>938</v>
      </c>
      <c r="BW163" s="281">
        <v>0.9</v>
      </c>
      <c r="BY163" s="276"/>
      <c r="CA163" s="275" t="s">
        <v>938</v>
      </c>
      <c r="CB163" s="281">
        <v>0.9</v>
      </c>
      <c r="CD163" s="276"/>
      <c r="CF163" s="275" t="s">
        <v>938</v>
      </c>
      <c r="CG163" s="281">
        <v>0.9</v>
      </c>
      <c r="CI163" s="276"/>
      <c r="CK163" s="275" t="s">
        <v>938</v>
      </c>
      <c r="CL163" s="281">
        <v>0.9</v>
      </c>
      <c r="CN163" s="276"/>
      <c r="CP163" s="275" t="s">
        <v>938</v>
      </c>
      <c r="CQ163" s="281">
        <v>0.9</v>
      </c>
      <c r="CS163" s="276"/>
      <c r="CU163" s="275" t="s">
        <v>938</v>
      </c>
      <c r="CV163" s="281">
        <v>0.9</v>
      </c>
      <c r="CX163" s="276"/>
      <c r="CZ163" s="275" t="s">
        <v>938</v>
      </c>
      <c r="DA163" s="281">
        <v>0.9</v>
      </c>
      <c r="DC163" s="276"/>
    </row>
    <row r="164" spans="1:107" x14ac:dyDescent="0.15">
      <c r="A164" s="272"/>
      <c r="B164" s="566" t="s">
        <v>95</v>
      </c>
      <c r="C164" s="1137">
        <f>IF(NOT(Dashboard!E102=""),Dashboard!E102,IF(AND(D164="",F164=""),"",IF(F164="",D164+E164,F164)))</f>
        <v>9</v>
      </c>
      <c r="D164" s="587" cm="1">
        <f t="array" ref="D164">IF(INDEX(164:164,$F$2)="","", INDEX(164:164, $F$2))</f>
        <v>9</v>
      </c>
      <c r="E164" s="1115"/>
      <c r="F164" s="565"/>
      <c r="G164" s="297"/>
      <c r="M164" s="275" t="s">
        <v>95</v>
      </c>
      <c r="N164" s="281">
        <v>9</v>
      </c>
      <c r="O164" s="258"/>
      <c r="P164" s="276"/>
      <c r="R164" s="275" t="s">
        <v>95</v>
      </c>
      <c r="S164" s="281">
        <v>9</v>
      </c>
      <c r="T164" s="258"/>
      <c r="U164" s="276"/>
      <c r="W164" s="275" t="s">
        <v>95</v>
      </c>
      <c r="X164" s="281">
        <v>9</v>
      </c>
      <c r="Z164" s="276"/>
      <c r="AB164" s="275" t="s">
        <v>95</v>
      </c>
      <c r="AC164" s="281">
        <v>9</v>
      </c>
      <c r="AE164" s="276"/>
      <c r="AG164" s="275" t="s">
        <v>95</v>
      </c>
      <c r="AH164" s="281">
        <v>9</v>
      </c>
      <c r="AJ164" s="276"/>
      <c r="AL164" s="275" t="s">
        <v>95</v>
      </c>
      <c r="AM164" s="281">
        <v>9</v>
      </c>
      <c r="AO164" s="276"/>
      <c r="AQ164" s="275" t="s">
        <v>95</v>
      </c>
      <c r="AR164" s="281">
        <v>9</v>
      </c>
      <c r="AT164" s="276"/>
      <c r="AV164" s="275" t="s">
        <v>95</v>
      </c>
      <c r="AW164" s="281">
        <v>9</v>
      </c>
      <c r="AY164" s="276"/>
      <c r="BA164" s="275" t="s">
        <v>95</v>
      </c>
      <c r="BB164" s="281">
        <v>9</v>
      </c>
      <c r="BD164" s="276"/>
      <c r="BF164" s="275" t="s">
        <v>95</v>
      </c>
      <c r="BG164" s="281">
        <v>9</v>
      </c>
      <c r="BI164" s="276"/>
      <c r="BL164" s="275" t="s">
        <v>95</v>
      </c>
      <c r="BM164" s="281">
        <v>9</v>
      </c>
      <c r="BO164" s="276"/>
      <c r="BQ164" s="275" t="s">
        <v>95</v>
      </c>
      <c r="BR164" s="281">
        <v>9</v>
      </c>
      <c r="BT164" s="276"/>
      <c r="BV164" s="275" t="s">
        <v>95</v>
      </c>
      <c r="BW164" s="281">
        <v>8</v>
      </c>
      <c r="BY164" s="276"/>
      <c r="CA164" s="275" t="s">
        <v>95</v>
      </c>
      <c r="CB164" s="281">
        <v>8</v>
      </c>
      <c r="CD164" s="276"/>
      <c r="CF164" s="275" t="s">
        <v>95</v>
      </c>
      <c r="CG164" s="281">
        <v>9</v>
      </c>
      <c r="CI164" s="276"/>
      <c r="CK164" s="275" t="s">
        <v>95</v>
      </c>
      <c r="CL164" s="281">
        <v>9</v>
      </c>
      <c r="CN164" s="276"/>
      <c r="CP164" s="275" t="s">
        <v>95</v>
      </c>
      <c r="CQ164" s="281">
        <v>10</v>
      </c>
      <c r="CS164" s="276"/>
      <c r="CU164" s="275" t="s">
        <v>95</v>
      </c>
      <c r="CV164" s="281">
        <v>9</v>
      </c>
      <c r="CX164" s="276"/>
      <c r="CZ164" s="275" t="s">
        <v>95</v>
      </c>
      <c r="DA164" s="281">
        <v>9</v>
      </c>
      <c r="DC164" s="276"/>
    </row>
    <row r="165" spans="1:107" ht="15" thickBot="1" x14ac:dyDescent="0.2">
      <c r="A165" s="272"/>
      <c r="B165" s="588"/>
      <c r="C165" s="589"/>
      <c r="D165" s="589"/>
      <c r="E165" s="589"/>
      <c r="F165" s="589"/>
      <c r="G165" s="320"/>
      <c r="M165" s="321"/>
      <c r="N165" s="322"/>
      <c r="O165" s="322"/>
      <c r="P165" s="323"/>
      <c r="R165" s="321"/>
      <c r="S165" s="322"/>
      <c r="T165" s="322"/>
      <c r="U165" s="323"/>
      <c r="W165" s="321"/>
      <c r="X165" s="1027"/>
      <c r="Y165" s="322"/>
      <c r="Z165" s="323"/>
      <c r="AB165" s="321"/>
      <c r="AC165" s="1027"/>
      <c r="AD165" s="322"/>
      <c r="AE165" s="323"/>
      <c r="AG165" s="321"/>
      <c r="AH165" s="322"/>
      <c r="AI165" s="322"/>
      <c r="AJ165" s="323"/>
      <c r="AL165" s="321"/>
      <c r="AM165" s="322"/>
      <c r="AN165" s="322"/>
      <c r="AO165" s="323"/>
      <c r="AQ165" s="321"/>
      <c r="AR165" s="322"/>
      <c r="AS165" s="322"/>
      <c r="AT165" s="323"/>
      <c r="AV165" s="321"/>
      <c r="AW165" s="322"/>
      <c r="AX165" s="322"/>
      <c r="AY165" s="323"/>
      <c r="BA165" s="321"/>
      <c r="BB165" s="322"/>
      <c r="BC165" s="322"/>
      <c r="BD165" s="323"/>
      <c r="BF165" s="321"/>
      <c r="BG165" s="322"/>
      <c r="BH165" s="322"/>
      <c r="BI165" s="323"/>
      <c r="BL165" s="321"/>
      <c r="BM165" s="322"/>
      <c r="BN165" s="322"/>
      <c r="BO165" s="323"/>
      <c r="BQ165" s="321"/>
      <c r="BR165" s="322"/>
      <c r="BS165" s="322"/>
      <c r="BT165" s="323"/>
      <c r="BV165" s="321"/>
      <c r="BW165" s="322"/>
      <c r="BX165" s="322"/>
      <c r="BY165" s="323"/>
      <c r="CA165" s="321"/>
      <c r="CB165" s="322"/>
      <c r="CC165" s="322"/>
      <c r="CD165" s="323"/>
      <c r="CF165" s="321"/>
      <c r="CG165" s="322"/>
      <c r="CH165" s="322"/>
      <c r="CI165" s="323"/>
      <c r="CK165" s="321"/>
      <c r="CL165" s="322"/>
      <c r="CM165" s="322"/>
      <c r="CN165" s="323"/>
      <c r="CP165" s="321"/>
      <c r="CQ165" s="322"/>
      <c r="CR165" s="322"/>
      <c r="CS165" s="323"/>
      <c r="CU165" s="321"/>
      <c r="CV165" s="322"/>
      <c r="CW165" s="322"/>
      <c r="CX165" s="323"/>
      <c r="CZ165" s="321"/>
      <c r="DA165" s="322"/>
      <c r="DB165" s="322"/>
      <c r="DC165" s="323"/>
    </row>
    <row r="166" spans="1:107" customFormat="1" ht="13" x14ac:dyDescent="0.15"/>
    <row r="167" spans="1:107" customFormat="1" ht="13" x14ac:dyDescent="0.15"/>
    <row r="168" spans="1:107" customFormat="1" ht="13" x14ac:dyDescent="0.15"/>
    <row r="169" spans="1:107" customFormat="1" ht="13" x14ac:dyDescent="0.15"/>
    <row r="170" spans="1:107" customFormat="1" ht="13" x14ac:dyDescent="0.15"/>
    <row r="171" spans="1:107" customFormat="1" ht="13" x14ac:dyDescent="0.15"/>
    <row r="172" spans="1:107" customFormat="1" ht="13" x14ac:dyDescent="0.15"/>
    <row r="173" spans="1:107" customFormat="1" ht="13" x14ac:dyDescent="0.15"/>
    <row r="174" spans="1:107" customFormat="1" ht="13" x14ac:dyDescent="0.15"/>
    <row r="175" spans="1:107" customFormat="1" ht="13" x14ac:dyDescent="0.15"/>
    <row r="176" spans="1:107" customFormat="1" ht="13" x14ac:dyDescent="0.15"/>
    <row r="177" customFormat="1" ht="13" x14ac:dyDescent="0.15"/>
    <row r="178" customFormat="1" ht="13" x14ac:dyDescent="0.15"/>
    <row r="179" customFormat="1" ht="13" x14ac:dyDescent="0.15"/>
    <row r="180" customFormat="1" ht="13" x14ac:dyDescent="0.15"/>
    <row r="181" customFormat="1" ht="13" x14ac:dyDescent="0.15"/>
    <row r="182" customFormat="1" ht="13" x14ac:dyDescent="0.15"/>
    <row r="183" customFormat="1" ht="13.5" customHeight="1" x14ac:dyDescent="0.15"/>
    <row r="184" customFormat="1" ht="13" x14ac:dyDescent="0.15"/>
    <row r="185" customFormat="1" ht="13" x14ac:dyDescent="0.15"/>
    <row r="186" customFormat="1" ht="13" x14ac:dyDescent="0.15"/>
    <row r="187" customFormat="1" ht="13" x14ac:dyDescent="0.15"/>
    <row r="188" customFormat="1" ht="13" x14ac:dyDescent="0.15"/>
    <row r="189" customFormat="1" ht="13" x14ac:dyDescent="0.15"/>
    <row r="190" customFormat="1" ht="13" x14ac:dyDescent="0.15"/>
    <row r="191" customFormat="1" ht="13" x14ac:dyDescent="0.15"/>
    <row r="192" customFormat="1" ht="13" x14ac:dyDescent="0.15"/>
    <row r="193" customFormat="1" ht="13" x14ac:dyDescent="0.15"/>
    <row r="194" customFormat="1" ht="13" x14ac:dyDescent="0.15"/>
    <row r="195" customFormat="1" ht="13" x14ac:dyDescent="0.15"/>
    <row r="196" customFormat="1" ht="13" x14ac:dyDescent="0.15"/>
    <row r="197" customFormat="1" ht="13" x14ac:dyDescent="0.15"/>
    <row r="198" customFormat="1" ht="13" x14ac:dyDescent="0.15"/>
    <row r="199" customFormat="1" ht="13" x14ac:dyDescent="0.15"/>
    <row r="200" customFormat="1" ht="13" x14ac:dyDescent="0.15"/>
    <row r="201" customFormat="1" ht="13" x14ac:dyDescent="0.15"/>
    <row r="202" customFormat="1" ht="13" x14ac:dyDescent="0.15"/>
    <row r="203" customFormat="1" ht="13" x14ac:dyDescent="0.15"/>
    <row r="204" customFormat="1" ht="13" x14ac:dyDescent="0.15"/>
    <row r="205" customFormat="1" ht="13" x14ac:dyDescent="0.15"/>
    <row r="206" customFormat="1" ht="13" x14ac:dyDescent="0.15"/>
    <row r="207" customFormat="1" ht="13" x14ac:dyDescent="0.15"/>
    <row r="208" customFormat="1" ht="13" x14ac:dyDescent="0.15"/>
    <row r="209" customFormat="1" ht="13" x14ac:dyDescent="0.15"/>
    <row r="210" customFormat="1" ht="13" x14ac:dyDescent="0.15"/>
    <row r="211" customFormat="1" ht="13" x14ac:dyDescent="0.15"/>
    <row r="212" customFormat="1" ht="13" x14ac:dyDescent="0.15"/>
    <row r="213" customFormat="1" ht="13" x14ac:dyDescent="0.15"/>
    <row r="214" customFormat="1" ht="13" x14ac:dyDescent="0.15"/>
    <row r="215" customFormat="1" ht="13" x14ac:dyDescent="0.15"/>
    <row r="216" customFormat="1" ht="13" x14ac:dyDescent="0.15"/>
    <row r="217" customFormat="1" ht="13" x14ac:dyDescent="0.15"/>
    <row r="218" customFormat="1" ht="13" x14ac:dyDescent="0.15"/>
    <row r="219" customFormat="1" ht="13" x14ac:dyDescent="0.15"/>
    <row r="220" customFormat="1" ht="13" x14ac:dyDescent="0.15"/>
    <row r="221" customFormat="1" ht="13" x14ac:dyDescent="0.15"/>
    <row r="222" customFormat="1" ht="13" x14ac:dyDescent="0.15"/>
    <row r="223" customFormat="1" ht="13" x14ac:dyDescent="0.15"/>
    <row r="224" customFormat="1" ht="13" x14ac:dyDescent="0.15"/>
    <row r="225" customFormat="1" ht="13" x14ac:dyDescent="0.15"/>
    <row r="226" customFormat="1" ht="13" x14ac:dyDescent="0.15"/>
    <row r="227" customFormat="1" ht="13" x14ac:dyDescent="0.15"/>
    <row r="228" customFormat="1" ht="13" x14ac:dyDescent="0.15"/>
    <row r="229" customFormat="1" ht="13" x14ac:dyDescent="0.15"/>
    <row r="230" customFormat="1" ht="13" x14ac:dyDescent="0.15"/>
    <row r="231" customFormat="1" ht="13" x14ac:dyDescent="0.15"/>
    <row r="232" customFormat="1" ht="13" x14ac:dyDescent="0.15"/>
    <row r="233" customFormat="1" ht="13" x14ac:dyDescent="0.15"/>
    <row r="234" customFormat="1" ht="13" x14ac:dyDescent="0.15"/>
    <row r="235" customFormat="1" ht="13" x14ac:dyDescent="0.15"/>
    <row r="236" customFormat="1" ht="13" x14ac:dyDescent="0.15"/>
    <row r="237" customFormat="1" ht="13" x14ac:dyDescent="0.15"/>
    <row r="238" customFormat="1" ht="13" x14ac:dyDescent="0.15"/>
    <row r="239" customFormat="1" ht="13" x14ac:dyDescent="0.15"/>
    <row r="240" customFormat="1" ht="13" x14ac:dyDescent="0.15"/>
    <row r="241" customFormat="1" ht="13" x14ac:dyDescent="0.15"/>
    <row r="242" customFormat="1" ht="13" x14ac:dyDescent="0.15"/>
    <row r="243" customFormat="1" ht="13" x14ac:dyDescent="0.15"/>
    <row r="244" customFormat="1" ht="13" x14ac:dyDescent="0.15"/>
    <row r="245" customFormat="1" ht="13" x14ac:dyDescent="0.15"/>
    <row r="246" customFormat="1" ht="13" x14ac:dyDescent="0.15"/>
    <row r="247" customFormat="1" ht="13" x14ac:dyDescent="0.15"/>
    <row r="248" customFormat="1" ht="13" x14ac:dyDescent="0.15"/>
    <row r="249" customFormat="1" ht="13" x14ac:dyDescent="0.15"/>
    <row r="250" customFormat="1" ht="13" x14ac:dyDescent="0.15"/>
    <row r="251" customFormat="1" ht="13" x14ac:dyDescent="0.15"/>
    <row r="252" customFormat="1" ht="13" x14ac:dyDescent="0.15"/>
    <row r="253" customFormat="1" ht="13" x14ac:dyDescent="0.15"/>
    <row r="254" customFormat="1" ht="13" x14ac:dyDescent="0.15"/>
    <row r="255" customFormat="1" ht="13" x14ac:dyDescent="0.15"/>
    <row r="256" customFormat="1" ht="13" x14ac:dyDescent="0.15"/>
    <row r="257" customFormat="1" ht="13" x14ac:dyDescent="0.15"/>
    <row r="258" customFormat="1" ht="13" x14ac:dyDescent="0.15"/>
    <row r="259" customFormat="1" ht="13" x14ac:dyDescent="0.15"/>
  </sheetData>
  <mergeCells count="23">
    <mergeCell ref="DB4:DC4"/>
    <mergeCell ref="CW4:CX4"/>
    <mergeCell ref="BC4:BD4"/>
    <mergeCell ref="BH4:BI4"/>
    <mergeCell ref="H1:I1"/>
    <mergeCell ref="CQ2:CS2"/>
    <mergeCell ref="CH4:CI4"/>
    <mergeCell ref="CR4:CS4"/>
    <mergeCell ref="AS4:AT4"/>
    <mergeCell ref="Y4:Z4"/>
    <mergeCell ref="BX4:BY4"/>
    <mergeCell ref="CQ3:CS3"/>
    <mergeCell ref="CC4:CD4"/>
    <mergeCell ref="CM4:CN4"/>
    <mergeCell ref="C3:G3"/>
    <mergeCell ref="AD4:AE4"/>
    <mergeCell ref="T4:U4"/>
    <mergeCell ref="O4:P4"/>
    <mergeCell ref="BS4:BT4"/>
    <mergeCell ref="AI4:AJ4"/>
    <mergeCell ref="AN4:AO4"/>
    <mergeCell ref="AX4:AY4"/>
    <mergeCell ref="BN4:BO4"/>
  </mergeCells>
  <conditionalFormatting sqref="AH27:AH28 N27:N28 BW27:BW28 CG27:CG28 AR27:AR28 N14:N16 CQ14:CQ16 X10:X16 CV38:CV49 N45:N57 N18:N22 AC8:AC16 AH8:AH10 N8:N10 BW8:BW10 CG8:CG10 CQ9:CQ10 AR8:AR10 S8:S10 AM8:AM10 AW8:AW10 BM8:BM10 CV56:CV60 X18:X22 AC18:AC22 BW15:BW22 CG15:CG22 CQ20:CQ22 X45:X57 AC45:AC57 AH45:AH52 CV51:CV54 CV33:CV36 N30:N36 CQ33:CQ35 X30:X40 AC30:AC37 S30:S36 AH30:AH40 AM31:AM37 AR30:AR40 AW31:AW37 BM31:BM40 BR31:BR37 BW30:BW40 CB33:CB40 CG30:CG40 CL33:CL40 DA33:DA36 BB31:BB40 BG31:BG37">
    <cfRule type="expression" dxfId="727" priority="1271">
      <formula>_xlfn.ISFORMULA(N8)</formula>
    </cfRule>
  </conditionalFormatting>
  <conditionalFormatting sqref="F63:F66 F68:F71 F73:F74 F78:F80 F91 F22:F23 F147:F164 F8:F20 F37:F53 F25 F27:F33 F93:F132 F57:F61 F55 F141:F145">
    <cfRule type="expression" dxfId="726" priority="1230">
      <formula>NOT(C8="")</formula>
    </cfRule>
  </conditionalFormatting>
  <conditionalFormatting sqref="CV62:CV67 CV71:CV74">
    <cfRule type="expression" dxfId="725" priority="1146">
      <formula>_xlfn.ISFORMULA(CV62)</formula>
    </cfRule>
  </conditionalFormatting>
  <conditionalFormatting sqref="AH62:AH68 AH46:AH49 AH91 AH71:AH74">
    <cfRule type="expression" dxfId="724" priority="1145">
      <formula>_xlfn.ISFORMULA(AH46)</formula>
    </cfRule>
  </conditionalFormatting>
  <conditionalFormatting sqref="N62:N68 N38:N44 N58:N60 N46:N50 N71:N74">
    <cfRule type="expression" dxfId="723" priority="1144">
      <formula>_xlfn.ISFORMULA(N38)</formula>
    </cfRule>
  </conditionalFormatting>
  <conditionalFormatting sqref="BW71:BW74">
    <cfRule type="expression" dxfId="722" priority="1143">
      <formula>_xlfn.ISFORMULA(BW71)</formula>
    </cfRule>
  </conditionalFormatting>
  <conditionalFormatting sqref="CG62:CG67">
    <cfRule type="expression" dxfId="721" priority="1142">
      <formula>_xlfn.ISFORMULA(CG62)</formula>
    </cfRule>
  </conditionalFormatting>
  <conditionalFormatting sqref="CQ71:CQ74 CQ30:CQ31 CQ27:CQ28 CQ91">
    <cfRule type="expression" dxfId="720" priority="1141">
      <formula>_xlfn.ISFORMULA(CQ27)</formula>
    </cfRule>
  </conditionalFormatting>
  <conditionalFormatting sqref="AR66:AR68 AR71:AR74">
    <cfRule type="expression" dxfId="719" priority="1140">
      <formula>_xlfn.ISFORMULA(AR66)</formula>
    </cfRule>
  </conditionalFormatting>
  <conditionalFormatting sqref="X58:X60 X46 X44 X62:X64 X27:X28 X66:X68 X71:X85">
    <cfRule type="expression" dxfId="718" priority="1139">
      <formula>_xlfn.ISFORMULA(X27)</formula>
    </cfRule>
  </conditionalFormatting>
  <conditionalFormatting sqref="CV37">
    <cfRule type="expression" dxfId="717" priority="1136">
      <formula>_xlfn.ISFORMULA(CV37)</formula>
    </cfRule>
  </conditionalFormatting>
  <conditionalFormatting sqref="N37">
    <cfRule type="expression" dxfId="716" priority="1134">
      <formula>_xlfn.ISFORMULA(N37)</formula>
    </cfRule>
  </conditionalFormatting>
  <conditionalFormatting sqref="X55">
    <cfRule type="expression" dxfId="715" priority="1107">
      <formula>_xlfn.ISFORMULA(X55)</formula>
    </cfRule>
  </conditionalFormatting>
  <conditionalFormatting sqref="BW27:BW29">
    <cfRule type="expression" dxfId="714" priority="1102">
      <formula>_xlfn.ISFORMULA(BW27)</formula>
    </cfRule>
  </conditionalFormatting>
  <conditionalFormatting sqref="X41:X43">
    <cfRule type="expression" dxfId="713" priority="1084">
      <formula>_xlfn.ISFORMULA(X41)</formula>
    </cfRule>
  </conditionalFormatting>
  <conditionalFormatting sqref="X25">
    <cfRule type="expression" dxfId="712" priority="1121">
      <formula>_xlfn.ISFORMULA(X25)</formula>
    </cfRule>
  </conditionalFormatting>
  <conditionalFormatting sqref="N11:N13">
    <cfRule type="expression" dxfId="711" priority="1118">
      <formula>_xlfn.ISFORMULA(N11)</formula>
    </cfRule>
  </conditionalFormatting>
  <conditionalFormatting sqref="N55">
    <cfRule type="expression" dxfId="710" priority="1112">
      <formula>_xlfn.ISFORMULA(N55)</formula>
    </cfRule>
  </conditionalFormatting>
  <conditionalFormatting sqref="X23:X29">
    <cfRule type="expression" dxfId="709" priority="1098">
      <formula>_xlfn.ISFORMULA(X23)</formula>
    </cfRule>
  </conditionalFormatting>
  <conditionalFormatting sqref="X91">
    <cfRule type="expression" dxfId="708" priority="1039">
      <formula>_xlfn.ISFORMULA(X91)</formula>
    </cfRule>
  </conditionalFormatting>
  <conditionalFormatting sqref="AH27:AH29">
    <cfRule type="expression" dxfId="707" priority="1104">
      <formula>_xlfn.ISFORMULA(AH27)</formula>
    </cfRule>
  </conditionalFormatting>
  <conditionalFormatting sqref="N23:N24 N26:N29">
    <cfRule type="expression" dxfId="706" priority="1103">
      <formula>_xlfn.ISFORMULA(N23)</formula>
    </cfRule>
  </conditionalFormatting>
  <conditionalFormatting sqref="CG27:CG29">
    <cfRule type="expression" dxfId="705" priority="1101">
      <formula>_xlfn.ISFORMULA(CG27)</formula>
    </cfRule>
  </conditionalFormatting>
  <conditionalFormatting sqref="AR27:AR29">
    <cfRule type="expression" dxfId="704" priority="1099">
      <formula>_xlfn.ISFORMULA(AR27)</formula>
    </cfRule>
  </conditionalFormatting>
  <conditionalFormatting sqref="CQ27:CQ29">
    <cfRule type="expression" dxfId="703" priority="1082">
      <formula>_xlfn.ISFORMULA(CQ27)</formula>
    </cfRule>
  </conditionalFormatting>
  <conditionalFormatting sqref="CQ153">
    <cfRule type="expression" dxfId="702" priority="1073">
      <formula>_xlfn.ISFORMULA(CQ153)</formula>
    </cfRule>
  </conditionalFormatting>
  <conditionalFormatting sqref="D40:E40">
    <cfRule type="expression" dxfId="701" priority="1068">
      <formula>NOT(D40="")</formula>
    </cfRule>
  </conditionalFormatting>
  <conditionalFormatting sqref="D10:E10">
    <cfRule type="expression" dxfId="700" priority="1067">
      <formula>NOT(D10="")</formula>
    </cfRule>
  </conditionalFormatting>
  <conditionalFormatting sqref="F75:F77">
    <cfRule type="expression" dxfId="699" priority="1054">
      <formula>NOT(C75="")</formula>
    </cfRule>
  </conditionalFormatting>
  <conditionalFormatting sqref="C75:C77">
    <cfRule type="expression" dxfId="698" priority="1053">
      <formula>NOT(C75="")</formula>
    </cfRule>
  </conditionalFormatting>
  <conditionalFormatting sqref="F84:F85">
    <cfRule type="expression" dxfId="697" priority="1052">
      <formula>NOT(C84="")</formula>
    </cfRule>
  </conditionalFormatting>
  <conditionalFormatting sqref="C85">
    <cfRule type="expression" dxfId="696" priority="1051">
      <formula>NOT(C85="")</formula>
    </cfRule>
  </conditionalFormatting>
  <conditionalFormatting sqref="C81:C83">
    <cfRule type="expression" dxfId="695" priority="1048">
      <formula>NOT(C81="")</formula>
    </cfRule>
  </conditionalFormatting>
  <conditionalFormatting sqref="F86">
    <cfRule type="expression" dxfId="694" priority="1046">
      <formula>NOT(C86="")</formula>
    </cfRule>
  </conditionalFormatting>
  <conditionalFormatting sqref="C86">
    <cfRule type="expression" dxfId="693" priority="1045">
      <formula>NOT(C86="")</formula>
    </cfRule>
  </conditionalFormatting>
  <conditionalFormatting sqref="F90">
    <cfRule type="expression" dxfId="692" priority="1044">
      <formula>NOT(C90="")</formula>
    </cfRule>
  </conditionalFormatting>
  <conditionalFormatting sqref="D91:E91">
    <cfRule type="expression" dxfId="691" priority="1042">
      <formula>_xlfn.ISFORMULA(INDIRECT(OFFSET(G91, 0, $G$2)))</formula>
    </cfRule>
  </conditionalFormatting>
  <conditionalFormatting sqref="F87:F89">
    <cfRule type="expression" dxfId="690" priority="1041">
      <formula>NOT(C87="")</formula>
    </cfRule>
  </conditionalFormatting>
  <conditionalFormatting sqref="C87:C89">
    <cfRule type="expression" dxfId="689" priority="1040">
      <formula>NOT(C87="")</formula>
    </cfRule>
  </conditionalFormatting>
  <conditionalFormatting sqref="X86:X90">
    <cfRule type="expression" dxfId="688" priority="1038">
      <formula>_xlfn.ISFORMULA(X86)</formula>
    </cfRule>
  </conditionalFormatting>
  <conditionalFormatting sqref="F81:F83">
    <cfRule type="expression" dxfId="687" priority="1037">
      <formula>NOT(C81="")</formula>
    </cfRule>
  </conditionalFormatting>
  <conditionalFormatting sqref="AH75:AH85">
    <cfRule type="expression" dxfId="686" priority="1028">
      <formula>_xlfn.ISFORMULA(AH75)</formula>
    </cfRule>
  </conditionalFormatting>
  <conditionalFormatting sqref="AH86:AH90">
    <cfRule type="expression" dxfId="685" priority="1027">
      <formula>_xlfn.ISFORMULA(AH86)</formula>
    </cfRule>
  </conditionalFormatting>
  <conditionalFormatting sqref="D75:E90">
    <cfRule type="expression" dxfId="684" priority="1025">
      <formula>_xlfn.ISFORMULA(INDIRECT(OFFSET(G75, 0, $G$2)))</formula>
    </cfRule>
  </conditionalFormatting>
  <conditionalFormatting sqref="AC23:AC29">
    <cfRule type="expression" dxfId="683" priority="883">
      <formula>_xlfn.ISFORMULA(AC23)</formula>
    </cfRule>
  </conditionalFormatting>
  <conditionalFormatting sqref="AC41:AC43">
    <cfRule type="expression" dxfId="682" priority="881">
      <formula>_xlfn.ISFORMULA(AC41)</formula>
    </cfRule>
  </conditionalFormatting>
  <conditionalFormatting sqref="AC91">
    <cfRule type="expression" dxfId="681" priority="880">
      <formula>_xlfn.ISFORMULA(AC91)</formula>
    </cfRule>
  </conditionalFormatting>
  <conditionalFormatting sqref="AC86:AC90">
    <cfRule type="expression" dxfId="680" priority="879">
      <formula>_xlfn.ISFORMULA(AC86)</formula>
    </cfRule>
  </conditionalFormatting>
  <conditionalFormatting sqref="AC18:AC19">
    <cfRule type="expression" dxfId="679" priority="878">
      <formula>_xlfn.ISFORMULA(AC18)</formula>
    </cfRule>
  </conditionalFormatting>
  <conditionalFormatting sqref="C93:C137 C139:C144">
    <cfRule type="expression" dxfId="678" priority="1004">
      <formula>NOT(C93="")</formula>
    </cfRule>
  </conditionalFormatting>
  <conditionalFormatting sqref="AC47:AC49">
    <cfRule type="expression" dxfId="677" priority="877">
      <formula>_xlfn.ISFORMULA(AC47)</formula>
    </cfRule>
  </conditionalFormatting>
  <conditionalFormatting sqref="AC114">
    <cfRule type="expression" dxfId="676" priority="876">
      <formula>_xlfn.ISFORMULA(AC114)</formula>
    </cfRule>
  </conditionalFormatting>
  <conditionalFormatting sqref="AC55">
    <cfRule type="expression" dxfId="675" priority="884">
      <formula>_xlfn.ISFORMULA(AC55)</formula>
    </cfRule>
  </conditionalFormatting>
  <conditionalFormatting sqref="X18:X19">
    <cfRule type="expression" dxfId="674" priority="898">
      <formula>_xlfn.ISFORMULA(X18)</formula>
    </cfRule>
  </conditionalFormatting>
  <conditionalFormatting sqref="X47:X49">
    <cfRule type="expression" dxfId="673" priority="897">
      <formula>_xlfn.ISFORMULA(X47)</formula>
    </cfRule>
  </conditionalFormatting>
  <conditionalFormatting sqref="X114">
    <cfRule type="expression" dxfId="672" priority="896">
      <formula>_xlfn.ISFORMULA(X114)</formula>
    </cfRule>
  </conditionalFormatting>
  <conditionalFormatting sqref="X110">
    <cfRule type="expression" dxfId="671" priority="895">
      <formula>_xlfn.ISFORMULA(X110)</formula>
    </cfRule>
  </conditionalFormatting>
  <conditionalFormatting sqref="X109">
    <cfRule type="expression" dxfId="670" priority="894">
      <formula>_xlfn.ISFORMULA(X109)</formula>
    </cfRule>
  </conditionalFormatting>
  <conditionalFormatting sqref="X123">
    <cfRule type="expression" dxfId="669" priority="893">
      <formula>_xlfn.ISFORMULA(X123)</formula>
    </cfRule>
  </conditionalFormatting>
  <conditionalFormatting sqref="X122">
    <cfRule type="expression" dxfId="668" priority="892">
      <formula>_xlfn.ISFORMULA(X122)</formula>
    </cfRule>
  </conditionalFormatting>
  <conditionalFormatting sqref="X127">
    <cfRule type="expression" dxfId="667" priority="891">
      <formula>_xlfn.ISFORMULA(X127)</formula>
    </cfRule>
  </conditionalFormatting>
  <conditionalFormatting sqref="X139">
    <cfRule type="expression" dxfId="666" priority="890">
      <formula>_xlfn.ISFORMULA(X139)</formula>
    </cfRule>
  </conditionalFormatting>
  <conditionalFormatting sqref="X142">
    <cfRule type="expression" dxfId="665" priority="888">
      <formula>_xlfn.ISFORMULA(X142)</formula>
    </cfRule>
  </conditionalFormatting>
  <conditionalFormatting sqref="AC127">
    <cfRule type="expression" dxfId="664" priority="871">
      <formula>_xlfn.ISFORMULA(AC127)</formula>
    </cfRule>
  </conditionalFormatting>
  <conditionalFormatting sqref="AC58:AC60 AC46 AC44 AC62:AC64 AC27:AC28 AC40 AC66:AC68 AC71:AC85">
    <cfRule type="expression" dxfId="663" priority="886">
      <formula>_xlfn.ISFORMULA(AC27)</formula>
    </cfRule>
  </conditionalFormatting>
  <conditionalFormatting sqref="AC25">
    <cfRule type="expression" dxfId="662" priority="885">
      <formula>_xlfn.ISFORMULA(AC25)</formula>
    </cfRule>
  </conditionalFormatting>
  <conditionalFormatting sqref="AC110">
    <cfRule type="expression" dxfId="661" priority="875">
      <formula>_xlfn.ISFORMULA(AC110)</formula>
    </cfRule>
  </conditionalFormatting>
  <conditionalFormatting sqref="AC109">
    <cfRule type="expression" dxfId="660" priority="874">
      <formula>_xlfn.ISFORMULA(AC109)</formula>
    </cfRule>
  </conditionalFormatting>
  <conditionalFormatting sqref="AC123">
    <cfRule type="expression" dxfId="659" priority="873">
      <formula>_xlfn.ISFORMULA(AC123)</formula>
    </cfRule>
  </conditionalFormatting>
  <conditionalFormatting sqref="AC122">
    <cfRule type="expression" dxfId="658" priority="872">
      <formula>_xlfn.ISFORMULA(AC122)</formula>
    </cfRule>
  </conditionalFormatting>
  <conditionalFormatting sqref="AC139">
    <cfRule type="expression" dxfId="657" priority="870">
      <formula>_xlfn.ISFORMULA(AC139)</formula>
    </cfRule>
  </conditionalFormatting>
  <conditionalFormatting sqref="AC142">
    <cfRule type="expression" dxfId="656" priority="868">
      <formula>_xlfn.ISFORMULA(AC142)</formula>
    </cfRule>
  </conditionalFormatting>
  <conditionalFormatting sqref="AC132">
    <cfRule type="expression" dxfId="655" priority="833">
      <formula>_xlfn.ISFORMULA(AC132)</formula>
    </cfRule>
  </conditionalFormatting>
  <conditionalFormatting sqref="X132">
    <cfRule type="expression" dxfId="654" priority="834">
      <formula>_xlfn.ISFORMULA(X132)</formula>
    </cfRule>
  </conditionalFormatting>
  <conditionalFormatting sqref="S55">
    <cfRule type="expression" dxfId="653" priority="817">
      <formula>_xlfn.ISFORMULA(S55)</formula>
    </cfRule>
  </conditionalFormatting>
  <conditionalFormatting sqref="N127">
    <cfRule type="expression" dxfId="652" priority="832">
      <formula>_xlfn.ISFORMULA(N127)</formula>
    </cfRule>
  </conditionalFormatting>
  <conditionalFormatting sqref="N123">
    <cfRule type="expression" dxfId="651" priority="830">
      <formula>_xlfn.ISFORMULA(N123)</formula>
    </cfRule>
  </conditionalFormatting>
  <conditionalFormatting sqref="N122">
    <cfRule type="expression" dxfId="650" priority="829">
      <formula>_xlfn.ISFORMULA(N122)</formula>
    </cfRule>
  </conditionalFormatting>
  <conditionalFormatting sqref="N142">
    <cfRule type="expression" dxfId="649" priority="828">
      <formula>_xlfn.ISFORMULA(N142)</formula>
    </cfRule>
  </conditionalFormatting>
  <conditionalFormatting sqref="N141">
    <cfRule type="expression" dxfId="648" priority="827">
      <formula>_xlfn.ISFORMULA(N141)</formula>
    </cfRule>
  </conditionalFormatting>
  <conditionalFormatting sqref="N137:N138">
    <cfRule type="expression" dxfId="647" priority="826">
      <formula>_xlfn.ISFORMULA(N137)</formula>
    </cfRule>
  </conditionalFormatting>
  <conditionalFormatting sqref="N136">
    <cfRule type="expression" dxfId="646" priority="825">
      <formula>_xlfn.ISFORMULA(N136)</formula>
    </cfRule>
  </conditionalFormatting>
  <conditionalFormatting sqref="N25">
    <cfRule type="expression" dxfId="645" priority="824">
      <formula>_xlfn.ISFORMULA(N25)</formula>
    </cfRule>
  </conditionalFormatting>
  <conditionalFormatting sqref="N25">
    <cfRule type="expression" dxfId="644" priority="823">
      <formula>_xlfn.ISFORMULA(N25)</formula>
    </cfRule>
  </conditionalFormatting>
  <conditionalFormatting sqref="N55">
    <cfRule type="expression" dxfId="643" priority="822">
      <formula>_xlfn.ISFORMULA(N55)</formula>
    </cfRule>
  </conditionalFormatting>
  <conditionalFormatting sqref="S27:S28 S14:S16 S45:S49 S18:S19 S21:S22 S51:S57">
    <cfRule type="expression" dxfId="642" priority="821">
      <formula>_xlfn.ISFORMULA(S14)</formula>
    </cfRule>
  </conditionalFormatting>
  <conditionalFormatting sqref="S62:S68 S38:S44 S58:S60 S46:S49 S71:S74">
    <cfRule type="expression" dxfId="641" priority="820">
      <formula>_xlfn.ISFORMULA(S38)</formula>
    </cfRule>
  </conditionalFormatting>
  <conditionalFormatting sqref="S37">
    <cfRule type="expression" dxfId="640" priority="819">
      <formula>_xlfn.ISFORMULA(S37)</formula>
    </cfRule>
  </conditionalFormatting>
  <conditionalFormatting sqref="S11:S13">
    <cfRule type="expression" dxfId="639" priority="818">
      <formula>_xlfn.ISFORMULA(S11)</formula>
    </cfRule>
  </conditionalFormatting>
  <conditionalFormatting sqref="X8:X9">
    <cfRule type="expression" dxfId="638" priority="844">
      <formula>_xlfn.ISFORMULA(X8)</formula>
    </cfRule>
  </conditionalFormatting>
  <conditionalFormatting sqref="S23:S24 S26:S29">
    <cfRule type="expression" dxfId="637" priority="816">
      <formula>_xlfn.ISFORMULA(S23)</formula>
    </cfRule>
  </conditionalFormatting>
  <conditionalFormatting sqref="AC38:AC39">
    <cfRule type="expression" dxfId="636" priority="845">
      <formula>_xlfn.ISFORMULA(AC38)</formula>
    </cfRule>
  </conditionalFormatting>
  <conditionalFormatting sqref="N75:N85">
    <cfRule type="expression" dxfId="635" priority="843">
      <formula>_xlfn.ISFORMULA(N75)</formula>
    </cfRule>
  </conditionalFormatting>
  <conditionalFormatting sqref="N91">
    <cfRule type="expression" dxfId="634" priority="842">
      <formula>_xlfn.ISFORMULA(N91)</formula>
    </cfRule>
  </conditionalFormatting>
  <conditionalFormatting sqref="N86:N90">
    <cfRule type="expression" dxfId="633" priority="841">
      <formula>_xlfn.ISFORMULA(N86)</formula>
    </cfRule>
  </conditionalFormatting>
  <conditionalFormatting sqref="N110">
    <cfRule type="expression" dxfId="632" priority="839">
      <formula>_xlfn.ISFORMULA(N110)</formula>
    </cfRule>
  </conditionalFormatting>
  <conditionalFormatting sqref="N109">
    <cfRule type="expression" dxfId="631" priority="838">
      <formula>_xlfn.ISFORMULA(N109)</formula>
    </cfRule>
  </conditionalFormatting>
  <conditionalFormatting sqref="N114">
    <cfRule type="expression" dxfId="630" priority="836">
      <formula>_xlfn.ISFORMULA(N114)</formula>
    </cfRule>
  </conditionalFormatting>
  <conditionalFormatting sqref="S91">
    <cfRule type="expression" dxfId="629" priority="814">
      <formula>_xlfn.ISFORMULA(S91)</formula>
    </cfRule>
  </conditionalFormatting>
  <conditionalFormatting sqref="S75:S85">
    <cfRule type="expression" dxfId="628" priority="815">
      <formula>_xlfn.ISFORMULA(S75)</formula>
    </cfRule>
  </conditionalFormatting>
  <conditionalFormatting sqref="S86:S90">
    <cfRule type="expression" dxfId="627" priority="813">
      <formula>_xlfn.ISFORMULA(S86)</formula>
    </cfRule>
  </conditionalFormatting>
  <conditionalFormatting sqref="S110">
    <cfRule type="expression" dxfId="626" priority="812">
      <formula>_xlfn.ISFORMULA(S110)</formula>
    </cfRule>
  </conditionalFormatting>
  <conditionalFormatting sqref="S109">
    <cfRule type="expression" dxfId="625" priority="811">
      <formula>_xlfn.ISFORMULA(S109)</formula>
    </cfRule>
  </conditionalFormatting>
  <conditionalFormatting sqref="AH23:AH26">
    <cfRule type="expression" dxfId="624" priority="795">
      <formula>_xlfn.ISFORMULA(AH23)</formula>
    </cfRule>
  </conditionalFormatting>
  <conditionalFormatting sqref="S114">
    <cfRule type="expression" dxfId="623" priority="809">
      <formula>_xlfn.ISFORMULA(S114)</formula>
    </cfRule>
  </conditionalFormatting>
  <conditionalFormatting sqref="S127">
    <cfRule type="expression" dxfId="622" priority="808">
      <formula>_xlfn.ISFORMULA(S127)</formula>
    </cfRule>
  </conditionalFormatting>
  <conditionalFormatting sqref="AH58:AH60">
    <cfRule type="expression" dxfId="621" priority="789">
      <formula>_xlfn.ISFORMULA(AH58)</formula>
    </cfRule>
  </conditionalFormatting>
  <conditionalFormatting sqref="S123">
    <cfRule type="expression" dxfId="620" priority="806">
      <formula>_xlfn.ISFORMULA(S123)</formula>
    </cfRule>
  </conditionalFormatting>
  <conditionalFormatting sqref="S122">
    <cfRule type="expression" dxfId="619" priority="805">
      <formula>_xlfn.ISFORMULA(S122)</formula>
    </cfRule>
  </conditionalFormatting>
  <conditionalFormatting sqref="S142">
    <cfRule type="expression" dxfId="618" priority="804">
      <formula>_xlfn.ISFORMULA(S142)</formula>
    </cfRule>
  </conditionalFormatting>
  <conditionalFormatting sqref="X65">
    <cfRule type="expression" dxfId="617" priority="786">
      <formula>_xlfn.ISFORMULA(X65)</formula>
    </cfRule>
  </conditionalFormatting>
  <conditionalFormatting sqref="S25">
    <cfRule type="expression" dxfId="616" priority="799">
      <formula>_xlfn.ISFORMULA(S25)</formula>
    </cfRule>
  </conditionalFormatting>
  <conditionalFormatting sqref="S25">
    <cfRule type="expression" dxfId="615" priority="800">
      <formula>_xlfn.ISFORMULA(S25)</formula>
    </cfRule>
  </conditionalFormatting>
  <conditionalFormatting sqref="S55">
    <cfRule type="expression" dxfId="614" priority="798">
      <formula>_xlfn.ISFORMULA(S55)</formula>
    </cfRule>
  </conditionalFormatting>
  <conditionalFormatting sqref="AH11:AH16 AH18:AH19 AH21:AH22">
    <cfRule type="expression" dxfId="613" priority="797">
      <formula>_xlfn.ISFORMULA(AH11)</formula>
    </cfRule>
  </conditionalFormatting>
  <conditionalFormatting sqref="AH25">
    <cfRule type="expression" dxfId="612" priority="796">
      <formula>_xlfn.ISFORMULA(AH25)</formula>
    </cfRule>
  </conditionalFormatting>
  <conditionalFormatting sqref="AH18:AH19">
    <cfRule type="expression" dxfId="611" priority="794">
      <formula>_xlfn.ISFORMULA(AH18)</formula>
    </cfRule>
  </conditionalFormatting>
  <conditionalFormatting sqref="AH44">
    <cfRule type="expression" dxfId="610" priority="792">
      <formula>_xlfn.ISFORMULA(AH44)</formula>
    </cfRule>
  </conditionalFormatting>
  <conditionalFormatting sqref="AH41:AH43">
    <cfRule type="expression" dxfId="609" priority="791">
      <formula>_xlfn.ISFORMULA(AH41)</formula>
    </cfRule>
  </conditionalFormatting>
  <conditionalFormatting sqref="AH53:AH57">
    <cfRule type="expression" dxfId="608" priority="790">
      <formula>_xlfn.ISFORMULA(AH53)</formula>
    </cfRule>
  </conditionalFormatting>
  <conditionalFormatting sqref="AH55">
    <cfRule type="expression" dxfId="607" priority="788">
      <formula>_xlfn.ISFORMULA(AH55)</formula>
    </cfRule>
  </conditionalFormatting>
  <conditionalFormatting sqref="AC65">
    <cfRule type="expression" dxfId="606" priority="787">
      <formula>_xlfn.ISFORMULA(AC65)</formula>
    </cfRule>
  </conditionalFormatting>
  <conditionalFormatting sqref="S132">
    <cfRule type="expression" dxfId="605" priority="785">
      <formula>_xlfn.ISFORMULA(S132)</formula>
    </cfRule>
  </conditionalFormatting>
  <conditionalFormatting sqref="N132">
    <cfRule type="expression" dxfId="604" priority="784">
      <formula>_xlfn.ISFORMULA(N132)</formula>
    </cfRule>
  </conditionalFormatting>
  <conditionalFormatting sqref="N119">
    <cfRule type="expression" dxfId="603" priority="783">
      <formula>_xlfn.ISFORMULA(N119)</formula>
    </cfRule>
  </conditionalFormatting>
  <conditionalFormatting sqref="S119">
    <cfRule type="expression" dxfId="602" priority="782">
      <formula>_xlfn.ISFORMULA(S119)</formula>
    </cfRule>
  </conditionalFormatting>
  <conditionalFormatting sqref="X119">
    <cfRule type="expression" dxfId="601" priority="781">
      <formula>_xlfn.ISFORMULA(X119)</formula>
    </cfRule>
  </conditionalFormatting>
  <conditionalFormatting sqref="AC119">
    <cfRule type="expression" dxfId="600" priority="780">
      <formula>_xlfn.ISFORMULA(AC119)</formula>
    </cfRule>
  </conditionalFormatting>
  <conditionalFormatting sqref="AH132">
    <cfRule type="expression" dxfId="599" priority="779">
      <formula>_xlfn.ISFORMULA(AH132)</formula>
    </cfRule>
  </conditionalFormatting>
  <conditionalFormatting sqref="AH123">
    <cfRule type="expression" dxfId="598" priority="778">
      <formula>_xlfn.ISFORMULA(AH123)</formula>
    </cfRule>
  </conditionalFormatting>
  <conditionalFormatting sqref="AH122">
    <cfRule type="expression" dxfId="597" priority="777">
      <formula>_xlfn.ISFORMULA(AH122)</formula>
    </cfRule>
  </conditionalFormatting>
  <conditionalFormatting sqref="AH119">
    <cfRule type="expression" dxfId="596" priority="776">
      <formula>_xlfn.ISFORMULA(AH119)</formula>
    </cfRule>
  </conditionalFormatting>
  <conditionalFormatting sqref="AH110">
    <cfRule type="expression" dxfId="595" priority="775">
      <formula>_xlfn.ISFORMULA(AH110)</formula>
    </cfRule>
  </conditionalFormatting>
  <conditionalFormatting sqref="AH109">
    <cfRule type="expression" dxfId="594" priority="774">
      <formula>_xlfn.ISFORMULA(AH109)</formula>
    </cfRule>
  </conditionalFormatting>
  <conditionalFormatting sqref="AH139">
    <cfRule type="expression" dxfId="593" priority="773">
      <formula>_xlfn.ISFORMULA(AH139)</formula>
    </cfRule>
  </conditionalFormatting>
  <conditionalFormatting sqref="AH142">
    <cfRule type="expression" dxfId="592" priority="771">
      <formula>_xlfn.ISFORMULA(AH142)</formula>
    </cfRule>
  </conditionalFormatting>
  <conditionalFormatting sqref="AH114">
    <cfRule type="expression" dxfId="591" priority="769">
      <formula>_xlfn.ISFORMULA(AH114)</formula>
    </cfRule>
  </conditionalFormatting>
  <conditionalFormatting sqref="AH127">
    <cfRule type="expression" dxfId="590" priority="768">
      <formula>_xlfn.ISFORMULA(AH127)</formula>
    </cfRule>
  </conditionalFormatting>
  <conditionalFormatting sqref="AC17">
    <cfRule type="expression" dxfId="589" priority="725">
      <formula>_xlfn.ISFORMULA(AC17)</formula>
    </cfRule>
  </conditionalFormatting>
  <conditionalFormatting sqref="AM27:AM28 AM30 AM45:AM49 AM51:AM52">
    <cfRule type="expression" dxfId="588" priority="766">
      <formula>_xlfn.ISFORMULA(AM27)</formula>
    </cfRule>
  </conditionalFormatting>
  <conditionalFormatting sqref="AM62:AM68 AM46:AM49 AM91 AM71:AM74">
    <cfRule type="expression" dxfId="587" priority="765">
      <formula>_xlfn.ISFORMULA(AM46)</formula>
    </cfRule>
  </conditionalFormatting>
  <conditionalFormatting sqref="AM27:AM29">
    <cfRule type="expression" dxfId="586" priority="764">
      <formula>_xlfn.ISFORMULA(AM27)</formula>
    </cfRule>
  </conditionalFormatting>
  <conditionalFormatting sqref="AM75:AM85">
    <cfRule type="expression" dxfId="585" priority="763">
      <formula>_xlfn.ISFORMULA(AM75)</formula>
    </cfRule>
  </conditionalFormatting>
  <conditionalFormatting sqref="AM86:AM90">
    <cfRule type="expression" dxfId="584" priority="762">
      <formula>_xlfn.ISFORMULA(AM86)</formula>
    </cfRule>
  </conditionalFormatting>
  <conditionalFormatting sqref="AM25:AM26">
    <cfRule type="expression" dxfId="583" priority="759">
      <formula>_xlfn.ISFORMULA(AM25)</formula>
    </cfRule>
  </conditionalFormatting>
  <conditionalFormatting sqref="AM58">
    <cfRule type="expression" dxfId="582" priority="753">
      <formula>_xlfn.ISFORMULA(AM58)</formula>
    </cfRule>
  </conditionalFormatting>
  <conditionalFormatting sqref="AM114">
    <cfRule type="expression" dxfId="581" priority="741">
      <formula>_xlfn.ISFORMULA(AM114)</formula>
    </cfRule>
  </conditionalFormatting>
  <conditionalFormatting sqref="AM25">
    <cfRule type="expression" dxfId="580" priority="760">
      <formula>_xlfn.ISFORMULA(AM25)</formula>
    </cfRule>
  </conditionalFormatting>
  <conditionalFormatting sqref="AM11:AM19 AM21:AM22">
    <cfRule type="expression" dxfId="579" priority="738">
      <formula>_xlfn.ISFORMULA(AM11)</formula>
    </cfRule>
  </conditionalFormatting>
  <conditionalFormatting sqref="AM127">
    <cfRule type="expression" dxfId="578" priority="740">
      <formula>_xlfn.ISFORMULA(AM127)</formula>
    </cfRule>
  </conditionalFormatting>
  <conditionalFormatting sqref="AR109">
    <cfRule type="expression" dxfId="577" priority="695">
      <formula>_xlfn.ISFORMULA(AR109)</formula>
    </cfRule>
  </conditionalFormatting>
  <conditionalFormatting sqref="AM56:AM57">
    <cfRule type="expression" dxfId="576" priority="754">
      <formula>_xlfn.ISFORMULA(AM56)</formula>
    </cfRule>
  </conditionalFormatting>
  <conditionalFormatting sqref="AM132">
    <cfRule type="expression" dxfId="575" priority="751">
      <formula>_xlfn.ISFORMULA(AM132)</formula>
    </cfRule>
  </conditionalFormatting>
  <conditionalFormatting sqref="AM123">
    <cfRule type="expression" dxfId="574" priority="750">
      <formula>_xlfn.ISFORMULA(AM123)</formula>
    </cfRule>
  </conditionalFormatting>
  <conditionalFormatting sqref="AM122">
    <cfRule type="expression" dxfId="573" priority="749">
      <formula>_xlfn.ISFORMULA(AM122)</formula>
    </cfRule>
  </conditionalFormatting>
  <conditionalFormatting sqref="AM119">
    <cfRule type="expression" dxfId="572" priority="748">
      <formula>_xlfn.ISFORMULA(AM119)</formula>
    </cfRule>
  </conditionalFormatting>
  <conditionalFormatting sqref="AM110">
    <cfRule type="expression" dxfId="571" priority="747">
      <formula>_xlfn.ISFORMULA(AM110)</formula>
    </cfRule>
  </conditionalFormatting>
  <conditionalFormatting sqref="AM109">
    <cfRule type="expression" dxfId="570" priority="746">
      <formula>_xlfn.ISFORMULA(AM109)</formula>
    </cfRule>
  </conditionalFormatting>
  <conditionalFormatting sqref="AM139">
    <cfRule type="expression" dxfId="569" priority="745">
      <formula>_xlfn.ISFORMULA(AM139)</formula>
    </cfRule>
  </conditionalFormatting>
  <conditionalFormatting sqref="AM142">
    <cfRule type="expression" dxfId="568" priority="743">
      <formula>_xlfn.ISFORMULA(AM142)</formula>
    </cfRule>
  </conditionalFormatting>
  <conditionalFormatting sqref="AM55">
    <cfRule type="expression" dxfId="567" priority="730">
      <formula>_xlfn.ISFORMULA(AM55)</formula>
    </cfRule>
  </conditionalFormatting>
  <conditionalFormatting sqref="AM23:AM24">
    <cfRule type="expression" dxfId="566" priority="737">
      <formula>_xlfn.ISFORMULA(AM23)</formula>
    </cfRule>
  </conditionalFormatting>
  <conditionalFormatting sqref="AM17:AM19">
    <cfRule type="expression" dxfId="565" priority="736">
      <formula>_xlfn.ISFORMULA(AM17)</formula>
    </cfRule>
  </conditionalFormatting>
  <conditionalFormatting sqref="AM41:AM43">
    <cfRule type="expression" dxfId="564" priority="733">
      <formula>_xlfn.ISFORMULA(AM41)</formula>
    </cfRule>
  </conditionalFormatting>
  <conditionalFormatting sqref="AM44 AM40">
    <cfRule type="expression" dxfId="563" priority="734">
      <formula>_xlfn.ISFORMULA(AM40)</formula>
    </cfRule>
  </conditionalFormatting>
  <conditionalFormatting sqref="AM38:AM39">
    <cfRule type="expression" dxfId="562" priority="732">
      <formula>_xlfn.ISFORMULA(AM38)</formula>
    </cfRule>
  </conditionalFormatting>
  <conditionalFormatting sqref="AM53:AM55">
    <cfRule type="expression" dxfId="561" priority="731">
      <formula>_xlfn.ISFORMULA(AM53)</formula>
    </cfRule>
  </conditionalFormatting>
  <conditionalFormatting sqref="AM59:AM60">
    <cfRule type="expression" dxfId="560" priority="729">
      <formula>_xlfn.ISFORMULA(AM59)</formula>
    </cfRule>
  </conditionalFormatting>
  <conditionalFormatting sqref="AH17">
    <cfRule type="expression" dxfId="559" priority="728">
      <formula>_xlfn.ISFORMULA(AH17)</formula>
    </cfRule>
  </conditionalFormatting>
  <conditionalFormatting sqref="AH17">
    <cfRule type="expression" dxfId="558" priority="727">
      <formula>_xlfn.ISFORMULA(AH17)</formula>
    </cfRule>
  </conditionalFormatting>
  <conditionalFormatting sqref="AC17">
    <cfRule type="expression" dxfId="557" priority="726">
      <formula>_xlfn.ISFORMULA(AC17)</formula>
    </cfRule>
  </conditionalFormatting>
  <conditionalFormatting sqref="X17">
    <cfRule type="expression" dxfId="556" priority="724">
      <formula>_xlfn.ISFORMULA(X17)</formula>
    </cfRule>
  </conditionalFormatting>
  <conditionalFormatting sqref="X17">
    <cfRule type="expression" dxfId="555" priority="723">
      <formula>_xlfn.ISFORMULA(X17)</formula>
    </cfRule>
  </conditionalFormatting>
  <conditionalFormatting sqref="S17">
    <cfRule type="expression" dxfId="554" priority="722">
      <formula>_xlfn.ISFORMULA(S17)</formula>
    </cfRule>
  </conditionalFormatting>
  <conditionalFormatting sqref="S17">
    <cfRule type="expression" dxfId="553" priority="721">
      <formula>_xlfn.ISFORMULA(S17)</formula>
    </cfRule>
  </conditionalFormatting>
  <conditionalFormatting sqref="N17">
    <cfRule type="expression" dxfId="552" priority="720">
      <formula>_xlfn.ISFORMULA(N17)</formula>
    </cfRule>
  </conditionalFormatting>
  <conditionalFormatting sqref="N17">
    <cfRule type="expression" dxfId="551" priority="719">
      <formula>_xlfn.ISFORMULA(N17)</formula>
    </cfRule>
  </conditionalFormatting>
  <conditionalFormatting sqref="AR23:AR25">
    <cfRule type="expression" dxfId="550" priority="716">
      <formula>_xlfn.ISFORMULA(AR23)</formula>
    </cfRule>
  </conditionalFormatting>
  <conditionalFormatting sqref="AR11:AR16 AR18:AR19 AR21:AR22">
    <cfRule type="expression" dxfId="549" priority="718">
      <formula>_xlfn.ISFORMULA(AR11)</formula>
    </cfRule>
  </conditionalFormatting>
  <conditionalFormatting sqref="AR25">
    <cfRule type="expression" dxfId="548" priority="717">
      <formula>_xlfn.ISFORMULA(AR25)</formula>
    </cfRule>
  </conditionalFormatting>
  <conditionalFormatting sqref="AR18:AR19">
    <cfRule type="expression" dxfId="547" priority="715">
      <formula>_xlfn.ISFORMULA(AR18)</formula>
    </cfRule>
  </conditionalFormatting>
  <conditionalFormatting sqref="AR17">
    <cfRule type="expression" dxfId="546" priority="714">
      <formula>_xlfn.ISFORMULA(AR17)</formula>
    </cfRule>
  </conditionalFormatting>
  <conditionalFormatting sqref="AR17">
    <cfRule type="expression" dxfId="545" priority="713">
      <formula>_xlfn.ISFORMULA(AR17)</formula>
    </cfRule>
  </conditionalFormatting>
  <conditionalFormatting sqref="AR26">
    <cfRule type="expression" dxfId="544" priority="712">
      <formula>_xlfn.ISFORMULA(AR26)</formula>
    </cfRule>
  </conditionalFormatting>
  <conditionalFormatting sqref="AR45:AR49 AR51:AR52">
    <cfRule type="expression" dxfId="543" priority="711">
      <formula>_xlfn.ISFORMULA(AR45)</formula>
    </cfRule>
  </conditionalFormatting>
  <conditionalFormatting sqref="AR62:AR65 AR46:AR49">
    <cfRule type="expression" dxfId="542" priority="710">
      <formula>_xlfn.ISFORMULA(AR46)</formula>
    </cfRule>
  </conditionalFormatting>
  <conditionalFormatting sqref="AR58:AR60">
    <cfRule type="expression" dxfId="541" priority="705">
      <formula>_xlfn.ISFORMULA(AR58)</formula>
    </cfRule>
  </conditionalFormatting>
  <conditionalFormatting sqref="AR44">
    <cfRule type="expression" dxfId="540" priority="708">
      <formula>_xlfn.ISFORMULA(AR44)</formula>
    </cfRule>
  </conditionalFormatting>
  <conditionalFormatting sqref="AR41:AR43">
    <cfRule type="expression" dxfId="539" priority="707">
      <formula>_xlfn.ISFORMULA(AR41)</formula>
    </cfRule>
  </conditionalFormatting>
  <conditionalFormatting sqref="AR53:AR57">
    <cfRule type="expression" dxfId="538" priority="706">
      <formula>_xlfn.ISFORMULA(AR53)</formula>
    </cfRule>
  </conditionalFormatting>
  <conditionalFormatting sqref="AR55">
    <cfRule type="expression" dxfId="537" priority="704">
      <formula>_xlfn.ISFORMULA(AR55)</formula>
    </cfRule>
  </conditionalFormatting>
  <conditionalFormatting sqref="AR91">
    <cfRule type="expression" dxfId="536" priority="703">
      <formula>_xlfn.ISFORMULA(AR91)</formula>
    </cfRule>
  </conditionalFormatting>
  <conditionalFormatting sqref="AR75:AR85">
    <cfRule type="expression" dxfId="535" priority="702">
      <formula>_xlfn.ISFORMULA(AR75)</formula>
    </cfRule>
  </conditionalFormatting>
  <conditionalFormatting sqref="AR86:AR90">
    <cfRule type="expression" dxfId="534" priority="701">
      <formula>_xlfn.ISFORMULA(AR86)</formula>
    </cfRule>
  </conditionalFormatting>
  <conditionalFormatting sqref="AR114">
    <cfRule type="expression" dxfId="533" priority="690">
      <formula>_xlfn.ISFORMULA(AR114)</formula>
    </cfRule>
  </conditionalFormatting>
  <conditionalFormatting sqref="AR127">
    <cfRule type="expression" dxfId="532" priority="689">
      <formula>_xlfn.ISFORMULA(AR127)</formula>
    </cfRule>
  </conditionalFormatting>
  <conditionalFormatting sqref="AR132">
    <cfRule type="expression" dxfId="531" priority="700">
      <formula>_xlfn.ISFORMULA(AR132)</formula>
    </cfRule>
  </conditionalFormatting>
  <conditionalFormatting sqref="AR123">
    <cfRule type="expression" dxfId="530" priority="699">
      <formula>_xlfn.ISFORMULA(AR123)</formula>
    </cfRule>
  </conditionalFormatting>
  <conditionalFormatting sqref="AR122">
    <cfRule type="expression" dxfId="529" priority="698">
      <formula>_xlfn.ISFORMULA(AR122)</formula>
    </cfRule>
  </conditionalFormatting>
  <conditionalFormatting sqref="AR119">
    <cfRule type="expression" dxfId="528" priority="697">
      <formula>_xlfn.ISFORMULA(AR119)</formula>
    </cfRule>
  </conditionalFormatting>
  <conditionalFormatting sqref="AR110">
    <cfRule type="expression" dxfId="527" priority="696">
      <formula>_xlfn.ISFORMULA(AR110)</formula>
    </cfRule>
  </conditionalFormatting>
  <conditionalFormatting sqref="AW56:AW57">
    <cfRule type="expression" dxfId="526" priority="650">
      <formula>_xlfn.ISFORMULA(AW56)</formula>
    </cfRule>
  </conditionalFormatting>
  <conditionalFormatting sqref="AR139">
    <cfRule type="expression" dxfId="525" priority="694">
      <formula>_xlfn.ISFORMULA(AR139)</formula>
    </cfRule>
  </conditionalFormatting>
  <conditionalFormatting sqref="AR142">
    <cfRule type="expression" dxfId="524" priority="692">
      <formula>_xlfn.ISFORMULA(AR142)</formula>
    </cfRule>
  </conditionalFormatting>
  <conditionalFormatting sqref="AW75:AW85">
    <cfRule type="expression" dxfId="523" priority="669">
      <formula>_xlfn.ISFORMULA(AW75)</formula>
    </cfRule>
  </conditionalFormatting>
  <conditionalFormatting sqref="AW66:AW68 AW71:AW74">
    <cfRule type="expression" dxfId="522" priority="687">
      <formula>_xlfn.ISFORMULA(AW66)</formula>
    </cfRule>
  </conditionalFormatting>
  <conditionalFormatting sqref="AW132">
    <cfRule type="expression" dxfId="521" priority="667">
      <formula>_xlfn.ISFORMULA(AW132)</formula>
    </cfRule>
  </conditionalFormatting>
  <conditionalFormatting sqref="AW119">
    <cfRule type="expression" dxfId="520" priority="664">
      <formula>_xlfn.ISFORMULA(AW119)</formula>
    </cfRule>
  </conditionalFormatting>
  <conditionalFormatting sqref="AW123">
    <cfRule type="expression" dxfId="519" priority="666">
      <formula>_xlfn.ISFORMULA(AW123)</formula>
    </cfRule>
  </conditionalFormatting>
  <conditionalFormatting sqref="AW122">
    <cfRule type="expression" dxfId="518" priority="665">
      <formula>_xlfn.ISFORMULA(AW122)</formula>
    </cfRule>
  </conditionalFormatting>
  <conditionalFormatting sqref="AW110">
    <cfRule type="expression" dxfId="517" priority="663">
      <formula>_xlfn.ISFORMULA(AW110)</formula>
    </cfRule>
  </conditionalFormatting>
  <conditionalFormatting sqref="AW109">
    <cfRule type="expression" dxfId="516" priority="662">
      <formula>_xlfn.ISFORMULA(AW109)</formula>
    </cfRule>
  </conditionalFormatting>
  <conditionalFormatting sqref="AW139">
    <cfRule type="expression" dxfId="515" priority="661">
      <formula>_xlfn.ISFORMULA(AW139)</formula>
    </cfRule>
  </conditionalFormatting>
  <conditionalFormatting sqref="AW142">
    <cfRule type="expression" dxfId="514" priority="659">
      <formula>_xlfn.ISFORMULA(AW142)</formula>
    </cfRule>
  </conditionalFormatting>
  <conditionalFormatting sqref="AW62:AW65">
    <cfRule type="expression" dxfId="513" priority="677">
      <formula>_xlfn.ISFORMULA(AW62)</formula>
    </cfRule>
  </conditionalFormatting>
  <conditionalFormatting sqref="AW27:AW29">
    <cfRule type="expression" dxfId="512" priority="653">
      <formula>_xlfn.ISFORMULA(AW27)</formula>
    </cfRule>
  </conditionalFormatting>
  <conditionalFormatting sqref="AW114">
    <cfRule type="expression" dxfId="511" priority="657">
      <formula>_xlfn.ISFORMULA(AW114)</formula>
    </cfRule>
  </conditionalFormatting>
  <conditionalFormatting sqref="AW127">
    <cfRule type="expression" dxfId="510" priority="656">
      <formula>_xlfn.ISFORMULA(AW127)</formula>
    </cfRule>
  </conditionalFormatting>
  <conditionalFormatting sqref="AW27:AW28 AW30 AW45:AW49 AW51:AW52">
    <cfRule type="expression" dxfId="509" priority="655">
      <formula>_xlfn.ISFORMULA(AW27)</formula>
    </cfRule>
  </conditionalFormatting>
  <conditionalFormatting sqref="AW46:AW49">
    <cfRule type="expression" dxfId="508" priority="654">
      <formula>_xlfn.ISFORMULA(AW46)</formula>
    </cfRule>
  </conditionalFormatting>
  <conditionalFormatting sqref="AW25">
    <cfRule type="expression" dxfId="507" priority="652">
      <formula>_xlfn.ISFORMULA(AW25)</formula>
    </cfRule>
  </conditionalFormatting>
  <conditionalFormatting sqref="AW91">
    <cfRule type="expression" dxfId="506" priority="670">
      <formula>_xlfn.ISFORMULA(AW91)</formula>
    </cfRule>
  </conditionalFormatting>
  <conditionalFormatting sqref="BM66:BM68 BM71:BM74">
    <cfRule type="expression" dxfId="505" priority="600">
      <formula>_xlfn.ISFORMULA(BM66)</formula>
    </cfRule>
  </conditionalFormatting>
  <conditionalFormatting sqref="AW86:AW90">
    <cfRule type="expression" dxfId="504" priority="668">
      <formula>_xlfn.ISFORMULA(AW86)</formula>
    </cfRule>
  </conditionalFormatting>
  <conditionalFormatting sqref="BM44">
    <cfRule type="expression" dxfId="503" priority="588">
      <formula>_xlfn.ISFORMULA(BM44)</formula>
    </cfRule>
  </conditionalFormatting>
  <conditionalFormatting sqref="BM41:BM43">
    <cfRule type="expression" dxfId="502" priority="587">
      <formula>_xlfn.ISFORMULA(BM41)</formula>
    </cfRule>
  </conditionalFormatting>
  <conditionalFormatting sqref="BM11:BM16 BM18:BM19 BM21:BM22">
    <cfRule type="expression" dxfId="501" priority="598">
      <formula>_xlfn.ISFORMULA(BM11)</formula>
    </cfRule>
  </conditionalFormatting>
  <conditionalFormatting sqref="BM25">
    <cfRule type="expression" dxfId="500" priority="597">
      <formula>_xlfn.ISFORMULA(BM25)</formula>
    </cfRule>
  </conditionalFormatting>
  <conditionalFormatting sqref="BM23:BM25">
    <cfRule type="expression" dxfId="499" priority="596">
      <formula>_xlfn.ISFORMULA(BM23)</formula>
    </cfRule>
  </conditionalFormatting>
  <conditionalFormatting sqref="BM18:BM19">
    <cfRule type="expression" dxfId="498" priority="595">
      <formula>_xlfn.ISFORMULA(BM18)</formula>
    </cfRule>
  </conditionalFormatting>
  <conditionalFormatting sqref="BM17">
    <cfRule type="expression" dxfId="497" priority="594">
      <formula>_xlfn.ISFORMULA(BM17)</formula>
    </cfRule>
  </conditionalFormatting>
  <conditionalFormatting sqref="BM17">
    <cfRule type="expression" dxfId="496" priority="593">
      <formula>_xlfn.ISFORMULA(BM17)</formula>
    </cfRule>
  </conditionalFormatting>
  <conditionalFormatting sqref="BM26">
    <cfRule type="expression" dxfId="495" priority="592">
      <formula>_xlfn.ISFORMULA(BM26)</formula>
    </cfRule>
  </conditionalFormatting>
  <conditionalFormatting sqref="BM45:BM49 BM51:BM52">
    <cfRule type="expression" dxfId="494" priority="591">
      <formula>_xlfn.ISFORMULA(BM45)</formula>
    </cfRule>
  </conditionalFormatting>
  <conditionalFormatting sqref="BM62:BM65 BM46:BM49">
    <cfRule type="expression" dxfId="493" priority="590">
      <formula>_xlfn.ISFORMULA(BM46)</formula>
    </cfRule>
  </conditionalFormatting>
  <conditionalFormatting sqref="AW11:AW19 AW21:AW22">
    <cfRule type="expression" dxfId="492" priority="648">
      <formula>_xlfn.ISFORMULA(AW11)</formula>
    </cfRule>
  </conditionalFormatting>
  <conditionalFormatting sqref="BM53:BM57">
    <cfRule type="expression" dxfId="491" priority="586">
      <formula>_xlfn.ISFORMULA(BM53)</formula>
    </cfRule>
  </conditionalFormatting>
  <conditionalFormatting sqref="BM58:BM60">
    <cfRule type="expression" dxfId="490" priority="585">
      <formula>_xlfn.ISFORMULA(BM58)</formula>
    </cfRule>
  </conditionalFormatting>
  <conditionalFormatting sqref="BM55">
    <cfRule type="expression" dxfId="489" priority="584">
      <formula>_xlfn.ISFORMULA(BM55)</formula>
    </cfRule>
  </conditionalFormatting>
  <conditionalFormatting sqref="AW25:AW26">
    <cfRule type="expression" dxfId="488" priority="651">
      <formula>_xlfn.ISFORMULA(AW25)</formula>
    </cfRule>
  </conditionalFormatting>
  <conditionalFormatting sqref="AW58">
    <cfRule type="expression" dxfId="487" priority="649">
      <formula>_xlfn.ISFORMULA(AW58)</formula>
    </cfRule>
  </conditionalFormatting>
  <conditionalFormatting sqref="BM91">
    <cfRule type="expression" dxfId="486" priority="583">
      <formula>_xlfn.ISFORMULA(BM91)</formula>
    </cfRule>
  </conditionalFormatting>
  <conditionalFormatting sqref="AW23:AW24">
    <cfRule type="expression" dxfId="485" priority="647">
      <formula>_xlfn.ISFORMULA(AW23)</formula>
    </cfRule>
  </conditionalFormatting>
  <conditionalFormatting sqref="AW17:AW19">
    <cfRule type="expression" dxfId="484" priority="646">
      <formula>_xlfn.ISFORMULA(AW17)</formula>
    </cfRule>
  </conditionalFormatting>
  <conditionalFormatting sqref="AW41:AW43">
    <cfRule type="expression" dxfId="483" priority="643">
      <formula>_xlfn.ISFORMULA(AW41)</formula>
    </cfRule>
  </conditionalFormatting>
  <conditionalFormatting sqref="AW44 AW40">
    <cfRule type="expression" dxfId="482" priority="644">
      <formula>_xlfn.ISFORMULA(AW40)</formula>
    </cfRule>
  </conditionalFormatting>
  <conditionalFormatting sqref="AW38:AW39">
    <cfRule type="expression" dxfId="481" priority="642">
      <formula>_xlfn.ISFORMULA(AW38)</formula>
    </cfRule>
  </conditionalFormatting>
  <conditionalFormatting sqref="AW53:AW55">
    <cfRule type="expression" dxfId="480" priority="641">
      <formula>_xlfn.ISFORMULA(AW53)</formula>
    </cfRule>
  </conditionalFormatting>
  <conditionalFormatting sqref="AW55">
    <cfRule type="expression" dxfId="479" priority="640">
      <formula>_xlfn.ISFORMULA(AW55)</formula>
    </cfRule>
  </conditionalFormatting>
  <conditionalFormatting sqref="AW59:AW60">
    <cfRule type="expression" dxfId="478" priority="639">
      <formula>_xlfn.ISFORMULA(AW59)</formula>
    </cfRule>
  </conditionalFormatting>
  <conditionalFormatting sqref="BR75:BR85">
    <cfRule type="expression" dxfId="477" priority="547">
      <formula>_xlfn.ISFORMULA(BR75)</formula>
    </cfRule>
  </conditionalFormatting>
  <conditionalFormatting sqref="BM27:BM29">
    <cfRule type="expression" dxfId="476" priority="599">
      <formula>_xlfn.ISFORMULA(BM27)</formula>
    </cfRule>
  </conditionalFormatting>
  <conditionalFormatting sqref="BR123">
    <cfRule type="expression" dxfId="475" priority="544">
      <formula>_xlfn.ISFORMULA(BR123)</formula>
    </cfRule>
  </conditionalFormatting>
  <conditionalFormatting sqref="BM27:BM28 BM30">
    <cfRule type="expression" dxfId="474" priority="601">
      <formula>_xlfn.ISFORMULA(BM27)</formula>
    </cfRule>
  </conditionalFormatting>
  <conditionalFormatting sqref="BM75:BM85">
    <cfRule type="expression" dxfId="473" priority="582">
      <formula>_xlfn.ISFORMULA(BM75)</formula>
    </cfRule>
  </conditionalFormatting>
  <conditionalFormatting sqref="BM86:BM90">
    <cfRule type="expression" dxfId="472" priority="581">
      <formula>_xlfn.ISFORMULA(BM86)</formula>
    </cfRule>
  </conditionalFormatting>
  <conditionalFormatting sqref="BM123">
    <cfRule type="expression" dxfId="471" priority="579">
      <formula>_xlfn.ISFORMULA(BM123)</formula>
    </cfRule>
  </conditionalFormatting>
  <conditionalFormatting sqref="BM122">
    <cfRule type="expression" dxfId="470" priority="578">
      <formula>_xlfn.ISFORMULA(BM122)</formula>
    </cfRule>
  </conditionalFormatting>
  <conditionalFormatting sqref="BM132">
    <cfRule type="expression" dxfId="469" priority="580">
      <formula>_xlfn.ISFORMULA(BM132)</formula>
    </cfRule>
  </conditionalFormatting>
  <conditionalFormatting sqref="BM119">
    <cfRule type="expression" dxfId="468" priority="577">
      <formula>_xlfn.ISFORMULA(BM119)</formula>
    </cfRule>
  </conditionalFormatting>
  <conditionalFormatting sqref="BM110">
    <cfRule type="expression" dxfId="467" priority="576">
      <formula>_xlfn.ISFORMULA(BM110)</formula>
    </cfRule>
  </conditionalFormatting>
  <conditionalFormatting sqref="BM109">
    <cfRule type="expression" dxfId="466" priority="575">
      <formula>_xlfn.ISFORMULA(BM109)</formula>
    </cfRule>
  </conditionalFormatting>
  <conditionalFormatting sqref="BM139">
    <cfRule type="expression" dxfId="465" priority="574">
      <formula>_xlfn.ISFORMULA(BM139)</formula>
    </cfRule>
  </conditionalFormatting>
  <conditionalFormatting sqref="BM142">
    <cfRule type="expression" dxfId="464" priority="572">
      <formula>_xlfn.ISFORMULA(BM142)</formula>
    </cfRule>
  </conditionalFormatting>
  <conditionalFormatting sqref="BM114">
    <cfRule type="expression" dxfId="463" priority="570">
      <formula>_xlfn.ISFORMULA(BM114)</formula>
    </cfRule>
  </conditionalFormatting>
  <conditionalFormatting sqref="BM127">
    <cfRule type="expression" dxfId="462" priority="569">
      <formula>_xlfn.ISFORMULA(BM127)</formula>
    </cfRule>
  </conditionalFormatting>
  <conditionalFormatting sqref="BW11:BW14">
    <cfRule type="expression" dxfId="461" priority="518">
      <formula>_xlfn.ISFORMULA(BW11)</formula>
    </cfRule>
  </conditionalFormatting>
  <conditionalFormatting sqref="BR8:BR10">
    <cfRule type="expression" dxfId="460" priority="567">
      <formula>_xlfn.ISFORMULA(BR8)</formula>
    </cfRule>
  </conditionalFormatting>
  <conditionalFormatting sqref="BR66:BR68 BR71:BR74">
    <cfRule type="expression" dxfId="459" priority="565">
      <formula>_xlfn.ISFORMULA(BR66)</formula>
    </cfRule>
  </conditionalFormatting>
  <conditionalFormatting sqref="BR122">
    <cfRule type="expression" dxfId="458" priority="543">
      <formula>_xlfn.ISFORMULA(BR122)</formula>
    </cfRule>
  </conditionalFormatting>
  <conditionalFormatting sqref="BR14:BR16 BR18:BR19 BR21:BR22">
    <cfRule type="expression" dxfId="457" priority="563">
      <formula>_xlfn.ISFORMULA(BR14)</formula>
    </cfRule>
  </conditionalFormatting>
  <conditionalFormatting sqref="BR18:BR19">
    <cfRule type="expression" dxfId="456" priority="560">
      <formula>_xlfn.ISFORMULA(BR18)</formula>
    </cfRule>
  </conditionalFormatting>
  <conditionalFormatting sqref="BR17">
    <cfRule type="expression" dxfId="455" priority="559">
      <formula>_xlfn.ISFORMULA(BR17)</formula>
    </cfRule>
  </conditionalFormatting>
  <conditionalFormatting sqref="BR17">
    <cfRule type="expression" dxfId="454" priority="558">
      <formula>_xlfn.ISFORMULA(BR17)</formula>
    </cfRule>
  </conditionalFormatting>
  <conditionalFormatting sqref="BR132">
    <cfRule type="expression" dxfId="453" priority="545">
      <formula>_xlfn.ISFORMULA(BR132)</formula>
    </cfRule>
  </conditionalFormatting>
  <conditionalFormatting sqref="BR45:BR49 BR51:BR52">
    <cfRule type="expression" dxfId="452" priority="556">
      <formula>_xlfn.ISFORMULA(BR45)</formula>
    </cfRule>
  </conditionalFormatting>
  <conditionalFormatting sqref="BR62:BR65 BR46:BR49">
    <cfRule type="expression" dxfId="451" priority="555">
      <formula>_xlfn.ISFORMULA(BR46)</formula>
    </cfRule>
  </conditionalFormatting>
  <conditionalFormatting sqref="BR86:BR90">
    <cfRule type="expression" dxfId="450" priority="546">
      <formula>_xlfn.ISFORMULA(BR86)</formula>
    </cfRule>
  </conditionalFormatting>
  <conditionalFormatting sqref="BR91">
    <cfRule type="expression" dxfId="449" priority="548">
      <formula>_xlfn.ISFORMULA(BR91)</formula>
    </cfRule>
  </conditionalFormatting>
  <conditionalFormatting sqref="BR27:BR29">
    <cfRule type="expression" dxfId="448" priority="564">
      <formula>_xlfn.ISFORMULA(BR27)</formula>
    </cfRule>
  </conditionalFormatting>
  <conditionalFormatting sqref="BR27:BR28 BR30">
    <cfRule type="expression" dxfId="447" priority="566">
      <formula>_xlfn.ISFORMULA(BR27)</formula>
    </cfRule>
  </conditionalFormatting>
  <conditionalFormatting sqref="BR119">
    <cfRule type="expression" dxfId="446" priority="542">
      <formula>_xlfn.ISFORMULA(BR119)</formula>
    </cfRule>
  </conditionalFormatting>
  <conditionalFormatting sqref="BR110">
    <cfRule type="expression" dxfId="445" priority="541">
      <formula>_xlfn.ISFORMULA(BR110)</formula>
    </cfRule>
  </conditionalFormatting>
  <conditionalFormatting sqref="BR109">
    <cfRule type="expression" dxfId="444" priority="540">
      <formula>_xlfn.ISFORMULA(BR109)</formula>
    </cfRule>
  </conditionalFormatting>
  <conditionalFormatting sqref="BR139">
    <cfRule type="expression" dxfId="443" priority="539">
      <formula>_xlfn.ISFORMULA(BR139)</formula>
    </cfRule>
  </conditionalFormatting>
  <conditionalFormatting sqref="BR142">
    <cfRule type="expression" dxfId="442" priority="537">
      <formula>_xlfn.ISFORMULA(BR142)</formula>
    </cfRule>
  </conditionalFormatting>
  <conditionalFormatting sqref="BR114">
    <cfRule type="expression" dxfId="441" priority="535">
      <formula>_xlfn.ISFORMULA(BR114)</formula>
    </cfRule>
  </conditionalFormatting>
  <conditionalFormatting sqref="BR127">
    <cfRule type="expression" dxfId="440" priority="534">
      <formula>_xlfn.ISFORMULA(BR127)</formula>
    </cfRule>
  </conditionalFormatting>
  <conditionalFormatting sqref="CB45:CB49 CB51:CB52">
    <cfRule type="expression" dxfId="439" priority="481">
      <formula>_xlfn.ISFORMULA(CB45)</formula>
    </cfRule>
  </conditionalFormatting>
  <conditionalFormatting sqref="BR11:BR13">
    <cfRule type="expression" dxfId="438" priority="532">
      <formula>_xlfn.ISFORMULA(BR11)</formula>
    </cfRule>
  </conditionalFormatting>
  <conditionalFormatting sqref="BR25">
    <cfRule type="expression" dxfId="437" priority="531">
      <formula>_xlfn.ISFORMULA(BR25)</formula>
    </cfRule>
  </conditionalFormatting>
  <conditionalFormatting sqref="BR25:BR26">
    <cfRule type="expression" dxfId="436" priority="530">
      <formula>_xlfn.ISFORMULA(BR25)</formula>
    </cfRule>
  </conditionalFormatting>
  <conditionalFormatting sqref="BR23:BR24">
    <cfRule type="expression" dxfId="435" priority="529">
      <formula>_xlfn.ISFORMULA(BR23)</formula>
    </cfRule>
  </conditionalFormatting>
  <conditionalFormatting sqref="BR41:BR43">
    <cfRule type="expression" dxfId="434" priority="526">
      <formula>_xlfn.ISFORMULA(BR41)</formula>
    </cfRule>
  </conditionalFormatting>
  <conditionalFormatting sqref="BR44 BR40">
    <cfRule type="expression" dxfId="433" priority="527">
      <formula>_xlfn.ISFORMULA(BR40)</formula>
    </cfRule>
  </conditionalFormatting>
  <conditionalFormatting sqref="BR38:BR39">
    <cfRule type="expression" dxfId="432" priority="525">
      <formula>_xlfn.ISFORMULA(BR38)</formula>
    </cfRule>
  </conditionalFormatting>
  <conditionalFormatting sqref="BR58">
    <cfRule type="expression" dxfId="431" priority="523">
      <formula>_xlfn.ISFORMULA(BR58)</formula>
    </cfRule>
  </conditionalFormatting>
  <conditionalFormatting sqref="BR56:BR57">
    <cfRule type="expression" dxfId="430" priority="524">
      <formula>_xlfn.ISFORMULA(BR56)</formula>
    </cfRule>
  </conditionalFormatting>
  <conditionalFormatting sqref="BR53:BR55">
    <cfRule type="expression" dxfId="429" priority="522">
      <formula>_xlfn.ISFORMULA(BR53)</formula>
    </cfRule>
  </conditionalFormatting>
  <conditionalFormatting sqref="BR55">
    <cfRule type="expression" dxfId="428" priority="521">
      <formula>_xlfn.ISFORMULA(BR55)</formula>
    </cfRule>
  </conditionalFormatting>
  <conditionalFormatting sqref="BR59:BR60">
    <cfRule type="expression" dxfId="427" priority="520">
      <formula>_xlfn.ISFORMULA(BR59)</formula>
    </cfRule>
  </conditionalFormatting>
  <conditionalFormatting sqref="CQ8">
    <cfRule type="expression" dxfId="426" priority="519">
      <formula>_xlfn.ISFORMULA(CQ8)</formula>
    </cfRule>
  </conditionalFormatting>
  <conditionalFormatting sqref="BW25">
    <cfRule type="expression" dxfId="425" priority="517">
      <formula>_xlfn.ISFORMULA(BW25)</formula>
    </cfRule>
  </conditionalFormatting>
  <conditionalFormatting sqref="BW23:BW25">
    <cfRule type="expression" dxfId="424" priority="516">
      <formula>_xlfn.ISFORMULA(BW23)</formula>
    </cfRule>
  </conditionalFormatting>
  <conditionalFormatting sqref="BW26">
    <cfRule type="expression" dxfId="423" priority="515">
      <formula>_xlfn.ISFORMULA(BW26)</formula>
    </cfRule>
  </conditionalFormatting>
  <conditionalFormatting sqref="BW66:BW69">
    <cfRule type="expression" dxfId="422" priority="514">
      <formula>_xlfn.ISFORMULA(BW66)</formula>
    </cfRule>
  </conditionalFormatting>
  <conditionalFormatting sqref="BW44">
    <cfRule type="expression" dxfId="421" priority="510">
      <formula>_xlfn.ISFORMULA(BW44)</formula>
    </cfRule>
  </conditionalFormatting>
  <conditionalFormatting sqref="BW41:BW43">
    <cfRule type="expression" dxfId="420" priority="509">
      <formula>_xlfn.ISFORMULA(BW41)</formula>
    </cfRule>
  </conditionalFormatting>
  <conditionalFormatting sqref="BW45:BW49 BW51:BW52">
    <cfRule type="expression" dxfId="419" priority="513">
      <formula>_xlfn.ISFORMULA(BW45)</formula>
    </cfRule>
  </conditionalFormatting>
  <conditionalFormatting sqref="BW62:BW65 BW46:BW49">
    <cfRule type="expression" dxfId="418" priority="512">
      <formula>_xlfn.ISFORMULA(BW46)</formula>
    </cfRule>
  </conditionalFormatting>
  <conditionalFormatting sqref="BW53:BW57">
    <cfRule type="expression" dxfId="417" priority="508">
      <formula>_xlfn.ISFORMULA(BW53)</formula>
    </cfRule>
  </conditionalFormatting>
  <conditionalFormatting sqref="BW58:BW60">
    <cfRule type="expression" dxfId="416" priority="507">
      <formula>_xlfn.ISFORMULA(BW58)</formula>
    </cfRule>
  </conditionalFormatting>
  <conditionalFormatting sqref="BW55">
    <cfRule type="expression" dxfId="415" priority="506">
      <formula>_xlfn.ISFORMULA(BW55)</formula>
    </cfRule>
  </conditionalFormatting>
  <conditionalFormatting sqref="BW70">
    <cfRule type="expression" dxfId="414" priority="505">
      <formula>_xlfn.ISFORMULA(BW70)</formula>
    </cfRule>
  </conditionalFormatting>
  <conditionalFormatting sqref="BW86:BW90">
    <cfRule type="expression" dxfId="413" priority="502">
      <formula>_xlfn.ISFORMULA(BW86)</formula>
    </cfRule>
  </conditionalFormatting>
  <conditionalFormatting sqref="BW91">
    <cfRule type="expression" dxfId="412" priority="504">
      <formula>_xlfn.ISFORMULA(BW91)</formula>
    </cfRule>
  </conditionalFormatting>
  <conditionalFormatting sqref="BW75:BW85">
    <cfRule type="expression" dxfId="411" priority="503">
      <formula>_xlfn.ISFORMULA(BW75)</formula>
    </cfRule>
  </conditionalFormatting>
  <conditionalFormatting sqref="BW123">
    <cfRule type="expression" dxfId="410" priority="500">
      <formula>_xlfn.ISFORMULA(BW123)</formula>
    </cfRule>
  </conditionalFormatting>
  <conditionalFormatting sqref="BW122">
    <cfRule type="expression" dxfId="409" priority="499">
      <formula>_xlfn.ISFORMULA(BW122)</formula>
    </cfRule>
  </conditionalFormatting>
  <conditionalFormatting sqref="BW132">
    <cfRule type="expression" dxfId="408" priority="501">
      <formula>_xlfn.ISFORMULA(BW132)</formula>
    </cfRule>
  </conditionalFormatting>
  <conditionalFormatting sqref="BW119">
    <cfRule type="expression" dxfId="407" priority="498">
      <formula>_xlfn.ISFORMULA(BW119)</formula>
    </cfRule>
  </conditionalFormatting>
  <conditionalFormatting sqref="BW110">
    <cfRule type="expression" dxfId="406" priority="497">
      <formula>_xlfn.ISFORMULA(BW110)</formula>
    </cfRule>
  </conditionalFormatting>
  <conditionalFormatting sqref="BW109">
    <cfRule type="expression" dxfId="405" priority="496">
      <formula>_xlfn.ISFORMULA(BW109)</formula>
    </cfRule>
  </conditionalFormatting>
  <conditionalFormatting sqref="BW139">
    <cfRule type="expression" dxfId="404" priority="495">
      <formula>_xlfn.ISFORMULA(BW139)</formula>
    </cfRule>
  </conditionalFormatting>
  <conditionalFormatting sqref="BW142">
    <cfRule type="expression" dxfId="403" priority="493">
      <formula>_xlfn.ISFORMULA(BW142)</formula>
    </cfRule>
  </conditionalFormatting>
  <conditionalFormatting sqref="CB25">
    <cfRule type="expression" dxfId="402" priority="485">
      <formula>_xlfn.ISFORMULA(CB25)</formula>
    </cfRule>
  </conditionalFormatting>
  <conditionalFormatting sqref="BW114">
    <cfRule type="expression" dxfId="401" priority="491">
      <formula>_xlfn.ISFORMULA(BW114)</formula>
    </cfRule>
  </conditionalFormatting>
  <conditionalFormatting sqref="BW127">
    <cfRule type="expression" dxfId="400" priority="490">
      <formula>_xlfn.ISFORMULA(BW127)</formula>
    </cfRule>
  </conditionalFormatting>
  <conditionalFormatting sqref="CG127">
    <cfRule type="expression" dxfId="399" priority="395">
      <formula>_xlfn.ISFORMULA(CG127)</formula>
    </cfRule>
  </conditionalFormatting>
  <conditionalFormatting sqref="CL59:CL60">
    <cfRule type="expression" dxfId="398" priority="350">
      <formula>_xlfn.ISFORMULA(CL59)</formula>
    </cfRule>
  </conditionalFormatting>
  <conditionalFormatting sqref="CB27:CB28 CB15:CB19 CB30 CB8:CB10 CB21:CB22">
    <cfRule type="expression" dxfId="397" priority="489">
      <formula>_xlfn.ISFORMULA(CB8)</formula>
    </cfRule>
  </conditionalFormatting>
  <conditionalFormatting sqref="CB71:CB74">
    <cfRule type="expression" dxfId="396" priority="488">
      <formula>_xlfn.ISFORMULA(CB71)</formula>
    </cfRule>
  </conditionalFormatting>
  <conditionalFormatting sqref="CB27:CB29">
    <cfRule type="expression" dxfId="395" priority="487">
      <formula>_xlfn.ISFORMULA(CB27)</formula>
    </cfRule>
  </conditionalFormatting>
  <conditionalFormatting sqref="CB56:CB57">
    <cfRule type="expression" dxfId="394" priority="454">
      <formula>_xlfn.ISFORMULA(CB56)</formula>
    </cfRule>
  </conditionalFormatting>
  <conditionalFormatting sqref="CB23:CB25">
    <cfRule type="expression" dxfId="393" priority="484">
      <formula>_xlfn.ISFORMULA(CB23)</formula>
    </cfRule>
  </conditionalFormatting>
  <conditionalFormatting sqref="CB26">
    <cfRule type="expression" dxfId="392" priority="483">
      <formula>_xlfn.ISFORMULA(CB26)</formula>
    </cfRule>
  </conditionalFormatting>
  <conditionalFormatting sqref="CG46:CG49">
    <cfRule type="expression" dxfId="391" priority="419">
      <formula>_xlfn.ISFORMULA(CG46)</formula>
    </cfRule>
  </conditionalFormatting>
  <conditionalFormatting sqref="CG23:CG25">
    <cfRule type="expression" dxfId="390" priority="423">
      <formula>_xlfn.ISFORMULA(CG23)</formula>
    </cfRule>
  </conditionalFormatting>
  <conditionalFormatting sqref="CG26">
    <cfRule type="expression" dxfId="389" priority="422">
      <formula>_xlfn.ISFORMULA(CG26)</formula>
    </cfRule>
  </conditionalFormatting>
  <conditionalFormatting sqref="AH69">
    <cfRule type="expression" dxfId="388" priority="436">
      <formula>_xlfn.ISFORMULA(AH69)</formula>
    </cfRule>
  </conditionalFormatting>
  <conditionalFormatting sqref="CB46:CB49">
    <cfRule type="expression" dxfId="387" priority="480">
      <formula>_xlfn.ISFORMULA(CB46)</formula>
    </cfRule>
  </conditionalFormatting>
  <conditionalFormatting sqref="CG55">
    <cfRule type="expression" dxfId="386" priority="413">
      <formula>_xlfn.ISFORMULA(CG55)</formula>
    </cfRule>
  </conditionalFormatting>
  <conditionalFormatting sqref="CG71:CG74">
    <cfRule type="expression" dxfId="385" priority="412">
      <formula>_xlfn.ISFORMULA(CG71)</formula>
    </cfRule>
  </conditionalFormatting>
  <conditionalFormatting sqref="CG91">
    <cfRule type="expression" dxfId="384" priority="411">
      <formula>_xlfn.ISFORMULA(CG91)</formula>
    </cfRule>
  </conditionalFormatting>
  <conditionalFormatting sqref="CG75:CG85">
    <cfRule type="expression" dxfId="383" priority="410">
      <formula>_xlfn.ISFORMULA(CG75)</formula>
    </cfRule>
  </conditionalFormatting>
  <conditionalFormatting sqref="CB86:CB90">
    <cfRule type="expression" dxfId="382" priority="470">
      <formula>_xlfn.ISFORMULA(CB86)</formula>
    </cfRule>
  </conditionalFormatting>
  <conditionalFormatting sqref="CB91">
    <cfRule type="expression" dxfId="381" priority="472">
      <formula>_xlfn.ISFORMULA(CB91)</formula>
    </cfRule>
  </conditionalFormatting>
  <conditionalFormatting sqref="CB75:CB85">
    <cfRule type="expression" dxfId="380" priority="471">
      <formula>_xlfn.ISFORMULA(CB75)</formula>
    </cfRule>
  </conditionalFormatting>
  <conditionalFormatting sqref="CB123">
    <cfRule type="expression" dxfId="379" priority="468">
      <formula>_xlfn.ISFORMULA(CB123)</formula>
    </cfRule>
  </conditionalFormatting>
  <conditionalFormatting sqref="CB122">
    <cfRule type="expression" dxfId="378" priority="467">
      <formula>_xlfn.ISFORMULA(CB122)</formula>
    </cfRule>
  </conditionalFormatting>
  <conditionalFormatting sqref="CB132">
    <cfRule type="expression" dxfId="377" priority="469">
      <formula>_xlfn.ISFORMULA(CB132)</formula>
    </cfRule>
  </conditionalFormatting>
  <conditionalFormatting sqref="CB119">
    <cfRule type="expression" dxfId="376" priority="466">
      <formula>_xlfn.ISFORMULA(CB119)</formula>
    </cfRule>
  </conditionalFormatting>
  <conditionalFormatting sqref="CB110">
    <cfRule type="expression" dxfId="375" priority="465">
      <formula>_xlfn.ISFORMULA(CB110)</formula>
    </cfRule>
  </conditionalFormatting>
  <conditionalFormatting sqref="CB109">
    <cfRule type="expression" dxfId="374" priority="464">
      <formula>_xlfn.ISFORMULA(CB109)</formula>
    </cfRule>
  </conditionalFormatting>
  <conditionalFormatting sqref="CB139">
    <cfRule type="expression" dxfId="373" priority="463">
      <formula>_xlfn.ISFORMULA(CB139)</formula>
    </cfRule>
  </conditionalFormatting>
  <conditionalFormatting sqref="CB142">
    <cfRule type="expression" dxfId="372" priority="461">
      <formula>_xlfn.ISFORMULA(CB142)</formula>
    </cfRule>
  </conditionalFormatting>
  <conditionalFormatting sqref="CB114">
    <cfRule type="expression" dxfId="371" priority="459">
      <formula>_xlfn.ISFORMULA(CB114)</formula>
    </cfRule>
  </conditionalFormatting>
  <conditionalFormatting sqref="CB127">
    <cfRule type="expression" dxfId="370" priority="458">
      <formula>_xlfn.ISFORMULA(CB127)</formula>
    </cfRule>
  </conditionalFormatting>
  <conditionalFormatting sqref="CB66:CB69">
    <cfRule type="expression" dxfId="369" priority="457">
      <formula>_xlfn.ISFORMULA(CB66)</formula>
    </cfRule>
  </conditionalFormatting>
  <conditionalFormatting sqref="CB62:CB65">
    <cfRule type="expression" dxfId="368" priority="456">
      <formula>_xlfn.ISFORMULA(CB62)</formula>
    </cfRule>
  </conditionalFormatting>
  <conditionalFormatting sqref="CB70">
    <cfRule type="expression" dxfId="367" priority="455">
      <formula>_xlfn.ISFORMULA(CB70)</formula>
    </cfRule>
  </conditionalFormatting>
  <conditionalFormatting sqref="CB58">
    <cfRule type="expression" dxfId="366" priority="453">
      <formula>_xlfn.ISFORMULA(CB58)</formula>
    </cfRule>
  </conditionalFormatting>
  <conditionalFormatting sqref="CG86:CG90">
    <cfRule type="expression" dxfId="365" priority="409">
      <formula>_xlfn.ISFORMULA(CG86)</formula>
    </cfRule>
  </conditionalFormatting>
  <conditionalFormatting sqref="CB53:CB55">
    <cfRule type="expression" dxfId="364" priority="452">
      <formula>_xlfn.ISFORMULA(CB53)</formula>
    </cfRule>
  </conditionalFormatting>
  <conditionalFormatting sqref="CB55">
    <cfRule type="expression" dxfId="363" priority="451">
      <formula>_xlfn.ISFORMULA(CB55)</formula>
    </cfRule>
  </conditionalFormatting>
  <conditionalFormatting sqref="CB59:CB60">
    <cfRule type="expression" dxfId="362" priority="450">
      <formula>_xlfn.ISFORMULA(CB59)</formula>
    </cfRule>
  </conditionalFormatting>
  <conditionalFormatting sqref="CB41:CB43">
    <cfRule type="expression" dxfId="361" priority="448">
      <formula>_xlfn.ISFORMULA(CB41)</formula>
    </cfRule>
  </conditionalFormatting>
  <conditionalFormatting sqref="CB44">
    <cfRule type="expression" dxfId="360" priority="449">
      <formula>_xlfn.ISFORMULA(CB44)</formula>
    </cfRule>
  </conditionalFormatting>
  <conditionalFormatting sqref="CB31:CB32">
    <cfRule type="expression" dxfId="359" priority="447">
      <formula>_xlfn.ISFORMULA(CB31)</formula>
    </cfRule>
  </conditionalFormatting>
  <conditionalFormatting sqref="BR69">
    <cfRule type="expression" dxfId="358" priority="446">
      <formula>_xlfn.ISFORMULA(BR69)</formula>
    </cfRule>
  </conditionalFormatting>
  <conditionalFormatting sqref="BR70">
    <cfRule type="expression" dxfId="357" priority="445">
      <formula>_xlfn.ISFORMULA(BR70)</formula>
    </cfRule>
  </conditionalFormatting>
  <conditionalFormatting sqref="BM69">
    <cfRule type="expression" dxfId="356" priority="444">
      <formula>_xlfn.ISFORMULA(BM69)</formula>
    </cfRule>
  </conditionalFormatting>
  <conditionalFormatting sqref="BM70">
    <cfRule type="expression" dxfId="355" priority="443">
      <formula>_xlfn.ISFORMULA(BM70)</formula>
    </cfRule>
  </conditionalFormatting>
  <conditionalFormatting sqref="AW69">
    <cfRule type="expression" dxfId="354" priority="442">
      <formula>_xlfn.ISFORMULA(AW69)</formula>
    </cfRule>
  </conditionalFormatting>
  <conditionalFormatting sqref="AW70">
    <cfRule type="expression" dxfId="353" priority="441">
      <formula>_xlfn.ISFORMULA(AW70)</formula>
    </cfRule>
  </conditionalFormatting>
  <conditionalFormatting sqref="AR69">
    <cfRule type="expression" dxfId="352" priority="440">
      <formula>_xlfn.ISFORMULA(AR69)</formula>
    </cfRule>
  </conditionalFormatting>
  <conditionalFormatting sqref="AR70">
    <cfRule type="expression" dxfId="351" priority="439">
      <formula>_xlfn.ISFORMULA(AR70)</formula>
    </cfRule>
  </conditionalFormatting>
  <conditionalFormatting sqref="AM69">
    <cfRule type="expression" dxfId="350" priority="438">
      <formula>_xlfn.ISFORMULA(AM69)</formula>
    </cfRule>
  </conditionalFormatting>
  <conditionalFormatting sqref="AM70">
    <cfRule type="expression" dxfId="349" priority="437">
      <formula>_xlfn.ISFORMULA(AM70)</formula>
    </cfRule>
  </conditionalFormatting>
  <conditionalFormatting sqref="AH70">
    <cfRule type="expression" dxfId="348" priority="435">
      <formula>_xlfn.ISFORMULA(AH70)</formula>
    </cfRule>
  </conditionalFormatting>
  <conditionalFormatting sqref="X69">
    <cfRule type="expression" dxfId="347" priority="434">
      <formula>_xlfn.ISFORMULA(X69)</formula>
    </cfRule>
  </conditionalFormatting>
  <conditionalFormatting sqref="X70">
    <cfRule type="expression" dxfId="346" priority="433">
      <formula>_xlfn.ISFORMULA(X70)</formula>
    </cfRule>
  </conditionalFormatting>
  <conditionalFormatting sqref="S69">
    <cfRule type="expression" dxfId="345" priority="432">
      <formula>_xlfn.ISFORMULA(S69)</formula>
    </cfRule>
  </conditionalFormatting>
  <conditionalFormatting sqref="S70">
    <cfRule type="expression" dxfId="344" priority="431">
      <formula>_xlfn.ISFORMULA(S70)</formula>
    </cfRule>
  </conditionalFormatting>
  <conditionalFormatting sqref="N69">
    <cfRule type="expression" dxfId="343" priority="430">
      <formula>_xlfn.ISFORMULA(N69)</formula>
    </cfRule>
  </conditionalFormatting>
  <conditionalFormatting sqref="N70">
    <cfRule type="expression" dxfId="342" priority="429">
      <formula>_xlfn.ISFORMULA(N70)</formula>
    </cfRule>
  </conditionalFormatting>
  <conditionalFormatting sqref="AC69">
    <cfRule type="expression" dxfId="341" priority="428">
      <formula>_xlfn.ISFORMULA(AC69)</formula>
    </cfRule>
  </conditionalFormatting>
  <conditionalFormatting sqref="AC70">
    <cfRule type="expression" dxfId="340" priority="427">
      <formula>_xlfn.ISFORMULA(AC70)</formula>
    </cfRule>
  </conditionalFormatting>
  <conditionalFormatting sqref="CB14">
    <cfRule type="expression" dxfId="339" priority="426">
      <formula>_xlfn.ISFORMULA(CB14)</formula>
    </cfRule>
  </conditionalFormatting>
  <conditionalFormatting sqref="CB11:CB13">
    <cfRule type="expression" dxfId="338" priority="425">
      <formula>_xlfn.ISFORMULA(CB11)</formula>
    </cfRule>
  </conditionalFormatting>
  <conditionalFormatting sqref="CG25">
    <cfRule type="expression" dxfId="337" priority="424">
      <formula>_xlfn.ISFORMULA(CG25)</formula>
    </cfRule>
  </conditionalFormatting>
  <conditionalFormatting sqref="CL91">
    <cfRule type="expression" dxfId="336" priority="378">
      <formula>_xlfn.ISFORMULA(CL91)</formula>
    </cfRule>
  </conditionalFormatting>
  <conditionalFormatting sqref="CL75:CL85">
    <cfRule type="expression" dxfId="335" priority="377">
      <formula>_xlfn.ISFORMULA(CL75)</formula>
    </cfRule>
  </conditionalFormatting>
  <conditionalFormatting sqref="CG11:CG14">
    <cfRule type="expression" dxfId="334" priority="421">
      <formula>_xlfn.ISFORMULA(CG11)</formula>
    </cfRule>
  </conditionalFormatting>
  <conditionalFormatting sqref="CG44">
    <cfRule type="expression" dxfId="333" priority="417">
      <formula>_xlfn.ISFORMULA(CG44)</formula>
    </cfRule>
  </conditionalFormatting>
  <conditionalFormatting sqref="CG41:CG43">
    <cfRule type="expression" dxfId="332" priority="416">
      <formula>_xlfn.ISFORMULA(CG41)</formula>
    </cfRule>
  </conditionalFormatting>
  <conditionalFormatting sqref="CG45:CG49 CG51:CG52">
    <cfRule type="expression" dxfId="331" priority="420">
      <formula>_xlfn.ISFORMULA(CG45)</formula>
    </cfRule>
  </conditionalFormatting>
  <conditionalFormatting sqref="CL70">
    <cfRule type="expression" dxfId="330" priority="374">
      <formula>_xlfn.ISFORMULA(CL70)</formula>
    </cfRule>
  </conditionalFormatting>
  <conditionalFormatting sqref="CG53:CG57">
    <cfRule type="expression" dxfId="329" priority="415">
      <formula>_xlfn.ISFORMULA(CG53)</formula>
    </cfRule>
  </conditionalFormatting>
  <conditionalFormatting sqref="CG58:CG60">
    <cfRule type="expression" dxfId="328" priority="414">
      <formula>_xlfn.ISFORMULA(CG58)</formula>
    </cfRule>
  </conditionalFormatting>
  <conditionalFormatting sqref="CL109">
    <cfRule type="expression" dxfId="327" priority="368">
      <formula>_xlfn.ISFORMULA(CL109)</formula>
    </cfRule>
  </conditionalFormatting>
  <conditionalFormatting sqref="CL139">
    <cfRule type="expression" dxfId="326" priority="367">
      <formula>_xlfn.ISFORMULA(CL139)</formula>
    </cfRule>
  </conditionalFormatting>
  <conditionalFormatting sqref="CL142">
    <cfRule type="expression" dxfId="325" priority="365">
      <formula>_xlfn.ISFORMULA(CL142)</formula>
    </cfRule>
  </conditionalFormatting>
  <conditionalFormatting sqref="CG68:CG69">
    <cfRule type="expression" dxfId="324" priority="408">
      <formula>_xlfn.ISFORMULA(CG68)</formula>
    </cfRule>
  </conditionalFormatting>
  <conditionalFormatting sqref="CG70">
    <cfRule type="expression" dxfId="323" priority="407">
      <formula>_xlfn.ISFORMULA(CG70)</formula>
    </cfRule>
  </conditionalFormatting>
  <conditionalFormatting sqref="CG123">
    <cfRule type="expression" dxfId="322" priority="405">
      <formula>_xlfn.ISFORMULA(CG123)</formula>
    </cfRule>
  </conditionalFormatting>
  <conditionalFormatting sqref="CG122">
    <cfRule type="expression" dxfId="321" priority="404">
      <formula>_xlfn.ISFORMULA(CG122)</formula>
    </cfRule>
  </conditionalFormatting>
  <conditionalFormatting sqref="CG132">
    <cfRule type="expression" dxfId="320" priority="406">
      <formula>_xlfn.ISFORMULA(CG132)</formula>
    </cfRule>
  </conditionalFormatting>
  <conditionalFormatting sqref="CG119">
    <cfRule type="expression" dxfId="319" priority="403">
      <formula>_xlfn.ISFORMULA(CG119)</formula>
    </cfRule>
  </conditionalFormatting>
  <conditionalFormatting sqref="CG110">
    <cfRule type="expression" dxfId="318" priority="402">
      <formula>_xlfn.ISFORMULA(CG110)</formula>
    </cfRule>
  </conditionalFormatting>
  <conditionalFormatting sqref="CG109">
    <cfRule type="expression" dxfId="317" priority="401">
      <formula>_xlfn.ISFORMULA(CG109)</formula>
    </cfRule>
  </conditionalFormatting>
  <conditionalFormatting sqref="CG139">
    <cfRule type="expression" dxfId="316" priority="400">
      <formula>_xlfn.ISFORMULA(CG139)</formula>
    </cfRule>
  </conditionalFormatting>
  <conditionalFormatting sqref="CG142">
    <cfRule type="expression" dxfId="315" priority="398">
      <formula>_xlfn.ISFORMULA(CG142)</formula>
    </cfRule>
  </conditionalFormatting>
  <conditionalFormatting sqref="CL27:CL29">
    <cfRule type="expression" dxfId="314" priority="392">
      <formula>_xlfn.ISFORMULA(CL27)</formula>
    </cfRule>
  </conditionalFormatting>
  <conditionalFormatting sqref="CG114">
    <cfRule type="expression" dxfId="313" priority="396">
      <formula>_xlfn.ISFORMULA(CG114)</formula>
    </cfRule>
  </conditionalFormatting>
  <conditionalFormatting sqref="CL27:CL28 CL15:CL19 CL30 CL8:CL10 CL21:CL22">
    <cfRule type="expression" dxfId="312" priority="394">
      <formula>_xlfn.ISFORMULA(CL8)</formula>
    </cfRule>
  </conditionalFormatting>
  <conditionalFormatting sqref="CL62:CL67">
    <cfRule type="expression" dxfId="311" priority="393">
      <formula>_xlfn.ISFORMULA(CL62)</formula>
    </cfRule>
  </conditionalFormatting>
  <conditionalFormatting sqref="CL127">
    <cfRule type="expression" dxfId="310" priority="362">
      <formula>_xlfn.ISFORMULA(CL127)</formula>
    </cfRule>
  </conditionalFormatting>
  <conditionalFormatting sqref="CL86:CL90">
    <cfRule type="expression" dxfId="309" priority="376">
      <formula>_xlfn.ISFORMULA(CL86)</formula>
    </cfRule>
  </conditionalFormatting>
  <conditionalFormatting sqref="CL23:CL25">
    <cfRule type="expression" dxfId="308" priority="390">
      <formula>_xlfn.ISFORMULA(CL23)</formula>
    </cfRule>
  </conditionalFormatting>
  <conditionalFormatting sqref="CL26">
    <cfRule type="expression" dxfId="307" priority="389">
      <formula>_xlfn.ISFORMULA(CL26)</formula>
    </cfRule>
  </conditionalFormatting>
  <conditionalFormatting sqref="CL119">
    <cfRule type="expression" dxfId="306" priority="370">
      <formula>_xlfn.ISFORMULA(CL119)</formula>
    </cfRule>
  </conditionalFormatting>
  <conditionalFormatting sqref="CL71:CL74">
    <cfRule type="expression" dxfId="305" priority="379">
      <formula>_xlfn.ISFORMULA(CL71)</formula>
    </cfRule>
  </conditionalFormatting>
  <conditionalFormatting sqref="CL25">
    <cfRule type="expression" dxfId="304" priority="391">
      <formula>_xlfn.ISFORMULA(CL25)</formula>
    </cfRule>
  </conditionalFormatting>
  <conditionalFormatting sqref="CL132">
    <cfRule type="expression" dxfId="303" priority="373">
      <formula>_xlfn.ISFORMULA(CL132)</formula>
    </cfRule>
  </conditionalFormatting>
  <conditionalFormatting sqref="CL57">
    <cfRule type="expression" dxfId="302" priority="382">
      <formula>_xlfn.ISFORMULA(CL57)</formula>
    </cfRule>
  </conditionalFormatting>
  <conditionalFormatting sqref="CL58">
    <cfRule type="expression" dxfId="301" priority="381">
      <formula>_xlfn.ISFORMULA(CL58)</formula>
    </cfRule>
  </conditionalFormatting>
  <conditionalFormatting sqref="CL68:CL69">
    <cfRule type="expression" dxfId="300" priority="375">
      <formula>_xlfn.ISFORMULA(CL68)</formula>
    </cfRule>
  </conditionalFormatting>
  <conditionalFormatting sqref="CL123">
    <cfRule type="expression" dxfId="299" priority="372">
      <formula>_xlfn.ISFORMULA(CL123)</formula>
    </cfRule>
  </conditionalFormatting>
  <conditionalFormatting sqref="CL122">
    <cfRule type="expression" dxfId="298" priority="371">
      <formula>_xlfn.ISFORMULA(CL122)</formula>
    </cfRule>
  </conditionalFormatting>
  <conditionalFormatting sqref="CL110">
    <cfRule type="expression" dxfId="297" priority="369">
      <formula>_xlfn.ISFORMULA(CL110)</formula>
    </cfRule>
  </conditionalFormatting>
  <conditionalFormatting sqref="CL11:CL13">
    <cfRule type="expression" dxfId="296" priority="360">
      <formula>_xlfn.ISFORMULA(CL11)</formula>
    </cfRule>
  </conditionalFormatting>
  <conditionalFormatting sqref="CL114">
    <cfRule type="expression" dxfId="295" priority="363">
      <formula>_xlfn.ISFORMULA(CL114)</formula>
    </cfRule>
  </conditionalFormatting>
  <conditionalFormatting sqref="CL14">
    <cfRule type="expression" dxfId="294" priority="361">
      <formula>_xlfn.ISFORMULA(CL14)</formula>
    </cfRule>
  </conditionalFormatting>
  <conditionalFormatting sqref="CL45:CL49 CL51:CL52">
    <cfRule type="expression" dxfId="293" priority="359">
      <formula>_xlfn.ISFORMULA(CL45)</formula>
    </cfRule>
  </conditionalFormatting>
  <conditionalFormatting sqref="CL56">
    <cfRule type="expression" dxfId="292" priority="356">
      <formula>_xlfn.ISFORMULA(CL56)</formula>
    </cfRule>
  </conditionalFormatting>
  <conditionalFormatting sqref="CL46:CL49">
    <cfRule type="expression" dxfId="291" priority="358">
      <formula>_xlfn.ISFORMULA(CL46)</formula>
    </cfRule>
  </conditionalFormatting>
  <conditionalFormatting sqref="CL53:CL55">
    <cfRule type="expression" dxfId="290" priority="355">
      <formula>_xlfn.ISFORMULA(CL53)</formula>
    </cfRule>
  </conditionalFormatting>
  <conditionalFormatting sqref="CL55">
    <cfRule type="expression" dxfId="289" priority="354">
      <formula>_xlfn.ISFORMULA(CL55)</formula>
    </cfRule>
  </conditionalFormatting>
  <conditionalFormatting sqref="CL41:CL43">
    <cfRule type="expression" dxfId="288" priority="352">
      <formula>_xlfn.ISFORMULA(CL41)</formula>
    </cfRule>
  </conditionalFormatting>
  <conditionalFormatting sqref="CL44">
    <cfRule type="expression" dxfId="287" priority="353">
      <formula>_xlfn.ISFORMULA(CL44)</formula>
    </cfRule>
  </conditionalFormatting>
  <conditionalFormatting sqref="CL31:CL32">
    <cfRule type="expression" dxfId="286" priority="351">
      <formula>_xlfn.ISFORMULA(CL31)</formula>
    </cfRule>
  </conditionalFormatting>
  <conditionalFormatting sqref="CV27:CV28 CV15:CV19 CV30 CV8:CV10 CV21:CV22">
    <cfRule type="expression" dxfId="285" priority="349">
      <formula>_xlfn.ISFORMULA(CV8)</formula>
    </cfRule>
  </conditionalFormatting>
  <conditionalFormatting sqref="CV27:CV29">
    <cfRule type="expression" dxfId="284" priority="348">
      <formula>_xlfn.ISFORMULA(CV27)</formula>
    </cfRule>
  </conditionalFormatting>
  <conditionalFormatting sqref="CV23:CV25">
    <cfRule type="expression" dxfId="283" priority="346">
      <formula>_xlfn.ISFORMULA(CV23)</formula>
    </cfRule>
  </conditionalFormatting>
  <conditionalFormatting sqref="CV26">
    <cfRule type="expression" dxfId="282" priority="345">
      <formula>_xlfn.ISFORMULA(CV26)</formula>
    </cfRule>
  </conditionalFormatting>
  <conditionalFormatting sqref="CV25">
    <cfRule type="expression" dxfId="281" priority="347">
      <formula>_xlfn.ISFORMULA(CV25)</formula>
    </cfRule>
  </conditionalFormatting>
  <conditionalFormatting sqref="CV11:CV14">
    <cfRule type="expression" dxfId="280" priority="344">
      <formula>_xlfn.ISFORMULA(CV11)</formula>
    </cfRule>
  </conditionalFormatting>
  <conditionalFormatting sqref="CV31:CV32">
    <cfRule type="expression" dxfId="279" priority="343">
      <formula>_xlfn.ISFORMULA(CV31)</formula>
    </cfRule>
  </conditionalFormatting>
  <conditionalFormatting sqref="CV127">
    <cfRule type="expression" dxfId="278" priority="324">
      <formula>_xlfn.ISFORMULA(CV127)</formula>
    </cfRule>
  </conditionalFormatting>
  <conditionalFormatting sqref="CV55">
    <cfRule type="expression" dxfId="277" priority="342">
      <formula>_xlfn.ISFORMULA(CV55)</formula>
    </cfRule>
  </conditionalFormatting>
  <conditionalFormatting sqref="CV55">
    <cfRule type="expression" dxfId="276" priority="341">
      <formula>_xlfn.ISFORMULA(CV55)</formula>
    </cfRule>
  </conditionalFormatting>
  <conditionalFormatting sqref="CV70">
    <cfRule type="expression" dxfId="275" priority="339">
      <formula>_xlfn.ISFORMULA(CV70)</formula>
    </cfRule>
  </conditionalFormatting>
  <conditionalFormatting sqref="CV68:CV69">
    <cfRule type="expression" dxfId="274" priority="340">
      <formula>_xlfn.ISFORMULA(CV68)</formula>
    </cfRule>
  </conditionalFormatting>
  <conditionalFormatting sqref="CV91">
    <cfRule type="expression" dxfId="273" priority="338">
      <formula>_xlfn.ISFORMULA(CV91)</formula>
    </cfRule>
  </conditionalFormatting>
  <conditionalFormatting sqref="CV75:CV85">
    <cfRule type="expression" dxfId="272" priority="337">
      <formula>_xlfn.ISFORMULA(CV75)</formula>
    </cfRule>
  </conditionalFormatting>
  <conditionalFormatting sqref="CV86:CV90">
    <cfRule type="expression" dxfId="271" priority="336">
      <formula>_xlfn.ISFORMULA(CV86)</formula>
    </cfRule>
  </conditionalFormatting>
  <conditionalFormatting sqref="CV109">
    <cfRule type="expression" dxfId="270" priority="330">
      <formula>_xlfn.ISFORMULA(CV109)</formula>
    </cfRule>
  </conditionalFormatting>
  <conditionalFormatting sqref="CV139">
    <cfRule type="expression" dxfId="269" priority="329">
      <formula>_xlfn.ISFORMULA(CV139)</formula>
    </cfRule>
  </conditionalFormatting>
  <conditionalFormatting sqref="CV142">
    <cfRule type="expression" dxfId="268" priority="327">
      <formula>_xlfn.ISFORMULA(CV142)</formula>
    </cfRule>
  </conditionalFormatting>
  <conditionalFormatting sqref="CV119">
    <cfRule type="expression" dxfId="267" priority="332">
      <formula>_xlfn.ISFORMULA(CV119)</formula>
    </cfRule>
  </conditionalFormatting>
  <conditionalFormatting sqref="CV132">
    <cfRule type="expression" dxfId="266" priority="335">
      <formula>_xlfn.ISFORMULA(CV132)</formula>
    </cfRule>
  </conditionalFormatting>
  <conditionalFormatting sqref="CV123">
    <cfRule type="expression" dxfId="265" priority="334">
      <formula>_xlfn.ISFORMULA(CV123)</formula>
    </cfRule>
  </conditionalFormatting>
  <conditionalFormatting sqref="CV122">
    <cfRule type="expression" dxfId="264" priority="333">
      <formula>_xlfn.ISFORMULA(CV122)</formula>
    </cfRule>
  </conditionalFormatting>
  <conditionalFormatting sqref="CV110">
    <cfRule type="expression" dxfId="263" priority="331">
      <formula>_xlfn.ISFORMULA(CV110)</formula>
    </cfRule>
  </conditionalFormatting>
  <conditionalFormatting sqref="DA38:DA54 DA56:DA60">
    <cfRule type="expression" dxfId="262" priority="323">
      <formula>_xlfn.ISFORMULA(DA38)</formula>
    </cfRule>
  </conditionalFormatting>
  <conditionalFormatting sqref="CV114">
    <cfRule type="expression" dxfId="261" priority="325">
      <formula>_xlfn.ISFORMULA(CV114)</formula>
    </cfRule>
  </conditionalFormatting>
  <conditionalFormatting sqref="DA62:DA67 DA71:DA74">
    <cfRule type="expression" dxfId="260" priority="322">
      <formula>_xlfn.ISFORMULA(DA62)</formula>
    </cfRule>
  </conditionalFormatting>
  <conditionalFormatting sqref="DA37">
    <cfRule type="expression" dxfId="259" priority="321">
      <formula>_xlfn.ISFORMULA(DA37)</formula>
    </cfRule>
  </conditionalFormatting>
  <conditionalFormatting sqref="DA27:DA28 DA15:DA19 DA30 DA8:DA10 DA21:DA22">
    <cfRule type="expression" dxfId="258" priority="320">
      <formula>_xlfn.ISFORMULA(DA8)</formula>
    </cfRule>
  </conditionalFormatting>
  <conditionalFormatting sqref="DA27:DA29">
    <cfRule type="expression" dxfId="257" priority="319">
      <formula>_xlfn.ISFORMULA(DA27)</formula>
    </cfRule>
  </conditionalFormatting>
  <conditionalFormatting sqref="DA23:DA25">
    <cfRule type="expression" dxfId="256" priority="317">
      <formula>_xlfn.ISFORMULA(DA23)</formula>
    </cfRule>
  </conditionalFormatting>
  <conditionalFormatting sqref="DA26">
    <cfRule type="expression" dxfId="255" priority="316">
      <formula>_xlfn.ISFORMULA(DA26)</formula>
    </cfRule>
  </conditionalFormatting>
  <conditionalFormatting sqref="DA25">
    <cfRule type="expression" dxfId="254" priority="318">
      <formula>_xlfn.ISFORMULA(DA25)</formula>
    </cfRule>
  </conditionalFormatting>
  <conditionalFormatting sqref="DA11:DA14">
    <cfRule type="expression" dxfId="253" priority="315">
      <formula>_xlfn.ISFORMULA(DA11)</formula>
    </cfRule>
  </conditionalFormatting>
  <conditionalFormatting sqref="DA31:DA32">
    <cfRule type="expression" dxfId="252" priority="314">
      <formula>_xlfn.ISFORMULA(DA31)</formula>
    </cfRule>
  </conditionalFormatting>
  <conditionalFormatting sqref="DA127">
    <cfRule type="expression" dxfId="251" priority="295">
      <formula>_xlfn.ISFORMULA(DA127)</formula>
    </cfRule>
  </conditionalFormatting>
  <conditionalFormatting sqref="DA55">
    <cfRule type="expression" dxfId="250" priority="313">
      <formula>_xlfn.ISFORMULA(DA55)</formula>
    </cfRule>
  </conditionalFormatting>
  <conditionalFormatting sqref="DA55">
    <cfRule type="expression" dxfId="249" priority="312">
      <formula>_xlfn.ISFORMULA(DA55)</formula>
    </cfRule>
  </conditionalFormatting>
  <conditionalFormatting sqref="DA70">
    <cfRule type="expression" dxfId="248" priority="310">
      <formula>_xlfn.ISFORMULA(DA70)</formula>
    </cfRule>
  </conditionalFormatting>
  <conditionalFormatting sqref="DA68:DA69">
    <cfRule type="expression" dxfId="247" priority="311">
      <formula>_xlfn.ISFORMULA(DA68)</formula>
    </cfRule>
  </conditionalFormatting>
  <conditionalFormatting sqref="DA91">
    <cfRule type="expression" dxfId="246" priority="309">
      <formula>_xlfn.ISFORMULA(DA91)</formula>
    </cfRule>
  </conditionalFormatting>
  <conditionalFormatting sqref="DA75:DA85">
    <cfRule type="expression" dxfId="245" priority="308">
      <formula>_xlfn.ISFORMULA(DA75)</formula>
    </cfRule>
  </conditionalFormatting>
  <conditionalFormatting sqref="DA86:DA90">
    <cfRule type="expression" dxfId="244" priority="307">
      <formula>_xlfn.ISFORMULA(DA86)</formula>
    </cfRule>
  </conditionalFormatting>
  <conditionalFormatting sqref="DA109">
    <cfRule type="expression" dxfId="243" priority="301">
      <formula>_xlfn.ISFORMULA(DA109)</formula>
    </cfRule>
  </conditionalFormatting>
  <conditionalFormatting sqref="DA139">
    <cfRule type="expression" dxfId="242" priority="300">
      <formula>_xlfn.ISFORMULA(DA139)</formula>
    </cfRule>
  </conditionalFormatting>
  <conditionalFormatting sqref="DA142">
    <cfRule type="expression" dxfId="241" priority="298">
      <formula>_xlfn.ISFORMULA(DA142)</formula>
    </cfRule>
  </conditionalFormatting>
  <conditionalFormatting sqref="DA119">
    <cfRule type="expression" dxfId="240" priority="303">
      <formula>_xlfn.ISFORMULA(DA119)</formula>
    </cfRule>
  </conditionalFormatting>
  <conditionalFormatting sqref="DA132">
    <cfRule type="expression" dxfId="239" priority="306">
      <formula>_xlfn.ISFORMULA(DA132)</formula>
    </cfRule>
  </conditionalFormatting>
  <conditionalFormatting sqref="DA123">
    <cfRule type="expression" dxfId="238" priority="305">
      <formula>_xlfn.ISFORMULA(DA123)</formula>
    </cfRule>
  </conditionalFormatting>
  <conditionalFormatting sqref="DA122">
    <cfRule type="expression" dxfId="237" priority="304">
      <formula>_xlfn.ISFORMULA(DA122)</formula>
    </cfRule>
  </conditionalFormatting>
  <conditionalFormatting sqref="DA110">
    <cfRule type="expression" dxfId="236" priority="302">
      <formula>_xlfn.ISFORMULA(DA110)</formula>
    </cfRule>
  </conditionalFormatting>
  <conditionalFormatting sqref="DA114">
    <cfRule type="expression" dxfId="235" priority="296">
      <formula>_xlfn.ISFORMULA(DA114)</formula>
    </cfRule>
  </conditionalFormatting>
  <conditionalFormatting sqref="CQ62:CQ67">
    <cfRule type="expression" dxfId="234" priority="294">
      <formula>_xlfn.ISFORMULA(CQ62)</formula>
    </cfRule>
  </conditionalFormatting>
  <conditionalFormatting sqref="CQ46:CQ49">
    <cfRule type="expression" dxfId="233" priority="292">
      <formula>_xlfn.ISFORMULA(CQ46)</formula>
    </cfRule>
  </conditionalFormatting>
  <conditionalFormatting sqref="CQ55">
    <cfRule type="expression" dxfId="232" priority="286">
      <formula>_xlfn.ISFORMULA(CQ55)</formula>
    </cfRule>
  </conditionalFormatting>
  <conditionalFormatting sqref="CQ44">
    <cfRule type="expression" dxfId="231" priority="290">
      <formula>_xlfn.ISFORMULA(CQ44)</formula>
    </cfRule>
  </conditionalFormatting>
  <conditionalFormatting sqref="CQ41:CQ43">
    <cfRule type="expression" dxfId="230" priority="289">
      <formula>_xlfn.ISFORMULA(CQ41)</formula>
    </cfRule>
  </conditionalFormatting>
  <conditionalFormatting sqref="CQ45:CQ49 CQ51:CQ52">
    <cfRule type="expression" dxfId="229" priority="293">
      <formula>_xlfn.ISFORMULA(CQ45)</formula>
    </cfRule>
  </conditionalFormatting>
  <conditionalFormatting sqref="CQ53:CQ57">
    <cfRule type="expression" dxfId="228" priority="288">
      <formula>_xlfn.ISFORMULA(CQ53)</formula>
    </cfRule>
  </conditionalFormatting>
  <conditionalFormatting sqref="CQ58:CQ60">
    <cfRule type="expression" dxfId="227" priority="287">
      <formula>_xlfn.ISFORMULA(CQ58)</formula>
    </cfRule>
  </conditionalFormatting>
  <conditionalFormatting sqref="CQ37:CQ40">
    <cfRule type="expression" dxfId="226" priority="291">
      <formula>_xlfn.ISFORMULA(CQ37)</formula>
    </cfRule>
  </conditionalFormatting>
  <conditionalFormatting sqref="CQ68:CQ69">
    <cfRule type="expression" dxfId="225" priority="285">
      <formula>_xlfn.ISFORMULA(CQ68)</formula>
    </cfRule>
  </conditionalFormatting>
  <conditionalFormatting sqref="CQ70">
    <cfRule type="expression" dxfId="224" priority="284">
      <formula>_xlfn.ISFORMULA(CQ70)</formula>
    </cfRule>
  </conditionalFormatting>
  <conditionalFormatting sqref="CQ36">
    <cfRule type="expression" dxfId="223" priority="283">
      <formula>_xlfn.ISFORMULA(CQ36)</formula>
    </cfRule>
  </conditionalFormatting>
  <conditionalFormatting sqref="CQ11:CQ13">
    <cfRule type="expression" dxfId="222" priority="282">
      <formula>_xlfn.ISFORMULA(CQ11)</formula>
    </cfRule>
  </conditionalFormatting>
  <conditionalFormatting sqref="CQ17:CQ19">
    <cfRule type="expression" dxfId="221" priority="281">
      <formula>_xlfn.ISFORMULA(CQ17)</formula>
    </cfRule>
  </conditionalFormatting>
  <conditionalFormatting sqref="CQ23">
    <cfRule type="expression" dxfId="220" priority="280">
      <formula>_xlfn.ISFORMULA(CQ23)</formula>
    </cfRule>
  </conditionalFormatting>
  <conditionalFormatting sqref="CQ24">
    <cfRule type="expression" dxfId="219" priority="279">
      <formula>_xlfn.ISFORMULA(CQ24)</formula>
    </cfRule>
  </conditionalFormatting>
  <conditionalFormatting sqref="CQ25">
    <cfRule type="expression" dxfId="218" priority="277">
      <formula>_xlfn.ISFORMULA(CQ25)</formula>
    </cfRule>
  </conditionalFormatting>
  <conditionalFormatting sqref="CQ25">
    <cfRule type="expression" dxfId="217" priority="278">
      <formula>_xlfn.ISFORMULA(CQ25)</formula>
    </cfRule>
  </conditionalFormatting>
  <conditionalFormatting sqref="CQ26">
    <cfRule type="expression" dxfId="216" priority="276">
      <formula>_xlfn.ISFORMULA(CQ26)</formula>
    </cfRule>
  </conditionalFormatting>
  <conditionalFormatting sqref="CQ32">
    <cfRule type="expression" dxfId="215" priority="275">
      <formula>_xlfn.ISFORMULA(CQ32)</formula>
    </cfRule>
  </conditionalFormatting>
  <conditionalFormatting sqref="CQ149">
    <cfRule type="expression" dxfId="214" priority="259">
      <formula>_xlfn.ISFORMULA(CQ149)</formula>
    </cfRule>
  </conditionalFormatting>
  <conditionalFormatting sqref="CQ93">
    <cfRule type="expression" dxfId="213" priority="271">
      <formula>_xlfn.ISFORMULA(CQ93)</formula>
    </cfRule>
  </conditionalFormatting>
  <conditionalFormatting sqref="CQ75:CQ85">
    <cfRule type="expression" dxfId="212" priority="270">
      <formula>_xlfn.ISFORMULA(CQ75)</formula>
    </cfRule>
  </conditionalFormatting>
  <conditionalFormatting sqref="CQ86:CQ90">
    <cfRule type="expression" dxfId="211" priority="269">
      <formula>_xlfn.ISFORMULA(CQ86)</formula>
    </cfRule>
  </conditionalFormatting>
  <conditionalFormatting sqref="CQ96:CQ106">
    <cfRule type="expression" dxfId="210" priority="268">
      <formula>_xlfn.ISFORMULA(CQ96)</formula>
    </cfRule>
  </conditionalFormatting>
  <conditionalFormatting sqref="CQ109:CQ119">
    <cfRule type="expression" dxfId="209" priority="267">
      <formula>_xlfn.ISFORMULA(CQ109)</formula>
    </cfRule>
  </conditionalFormatting>
  <conditionalFormatting sqref="CQ122:CQ132">
    <cfRule type="expression" dxfId="208" priority="266">
      <formula>_xlfn.ISFORMULA(CQ122)</formula>
    </cfRule>
  </conditionalFormatting>
  <conditionalFormatting sqref="CQ142">
    <cfRule type="expression" dxfId="207" priority="263">
      <formula>_xlfn.ISFORMULA(CQ142)</formula>
    </cfRule>
  </conditionalFormatting>
  <conditionalFormatting sqref="CQ155">
    <cfRule type="expression" dxfId="206" priority="257">
      <formula>_xlfn.ISFORMULA(CQ155)</formula>
    </cfRule>
  </conditionalFormatting>
  <conditionalFormatting sqref="E135">
    <cfRule type="expression" dxfId="205" priority="256">
      <formula>_xlfn.ISFORMULA(INDIRECT(OFFSET(H135, 0, $G$2)))</formula>
    </cfRule>
  </conditionalFormatting>
  <conditionalFormatting sqref="S137">
    <cfRule type="expression" dxfId="204" priority="253">
      <formula>_xlfn.ISFORMULA(S137)</formula>
    </cfRule>
  </conditionalFormatting>
  <conditionalFormatting sqref="S136">
    <cfRule type="expression" dxfId="203" priority="252">
      <formula>_xlfn.ISFORMULA(S136)</formula>
    </cfRule>
  </conditionalFormatting>
  <conditionalFormatting sqref="X137">
    <cfRule type="expression" dxfId="202" priority="251">
      <formula>_xlfn.ISFORMULA(X137)</formula>
    </cfRule>
  </conditionalFormatting>
  <conditionalFormatting sqref="X136">
    <cfRule type="expression" dxfId="201" priority="250">
      <formula>_xlfn.ISFORMULA(X136)</formula>
    </cfRule>
  </conditionalFormatting>
  <conditionalFormatting sqref="AC137">
    <cfRule type="expression" dxfId="200" priority="249">
      <formula>_xlfn.ISFORMULA(AC137)</formula>
    </cfRule>
  </conditionalFormatting>
  <conditionalFormatting sqref="AC136">
    <cfRule type="expression" dxfId="199" priority="248">
      <formula>_xlfn.ISFORMULA(AC136)</formula>
    </cfRule>
  </conditionalFormatting>
  <conditionalFormatting sqref="AH137">
    <cfRule type="expression" dxfId="198" priority="247">
      <formula>_xlfn.ISFORMULA(AH137)</formula>
    </cfRule>
  </conditionalFormatting>
  <conditionalFormatting sqref="AH136">
    <cfRule type="expression" dxfId="197" priority="246">
      <formula>_xlfn.ISFORMULA(AH136)</formula>
    </cfRule>
  </conditionalFormatting>
  <conditionalFormatting sqref="AM137">
    <cfRule type="expression" dxfId="196" priority="245">
      <formula>_xlfn.ISFORMULA(AM137)</formula>
    </cfRule>
  </conditionalFormatting>
  <conditionalFormatting sqref="AM136">
    <cfRule type="expression" dxfId="195" priority="244">
      <formula>_xlfn.ISFORMULA(AM136)</formula>
    </cfRule>
  </conditionalFormatting>
  <conditionalFormatting sqref="AR137">
    <cfRule type="expression" dxfId="194" priority="243">
      <formula>_xlfn.ISFORMULA(AR137)</formula>
    </cfRule>
  </conditionalFormatting>
  <conditionalFormatting sqref="AR136">
    <cfRule type="expression" dxfId="193" priority="242">
      <formula>_xlfn.ISFORMULA(AR136)</formula>
    </cfRule>
  </conditionalFormatting>
  <conditionalFormatting sqref="AW137">
    <cfRule type="expression" dxfId="192" priority="241">
      <formula>_xlfn.ISFORMULA(AW137)</formula>
    </cfRule>
  </conditionalFormatting>
  <conditionalFormatting sqref="AW136">
    <cfRule type="expression" dxfId="191" priority="240">
      <formula>_xlfn.ISFORMULA(AW136)</formula>
    </cfRule>
  </conditionalFormatting>
  <conditionalFormatting sqref="BM137">
    <cfRule type="expression" dxfId="190" priority="239">
      <formula>_xlfn.ISFORMULA(BM137)</formula>
    </cfRule>
  </conditionalFormatting>
  <conditionalFormatting sqref="BM136">
    <cfRule type="expression" dxfId="189" priority="238">
      <formula>_xlfn.ISFORMULA(BM136)</formula>
    </cfRule>
  </conditionalFormatting>
  <conditionalFormatting sqref="BR137">
    <cfRule type="expression" dxfId="188" priority="237">
      <formula>_xlfn.ISFORMULA(BR137)</formula>
    </cfRule>
  </conditionalFormatting>
  <conditionalFormatting sqref="BR136">
    <cfRule type="expression" dxfId="187" priority="236">
      <formula>_xlfn.ISFORMULA(BR136)</formula>
    </cfRule>
  </conditionalFormatting>
  <conditionalFormatting sqref="BW137">
    <cfRule type="expression" dxfId="186" priority="235">
      <formula>_xlfn.ISFORMULA(BW137)</formula>
    </cfRule>
  </conditionalFormatting>
  <conditionalFormatting sqref="BW136">
    <cfRule type="expression" dxfId="185" priority="234">
      <formula>_xlfn.ISFORMULA(BW136)</formula>
    </cfRule>
  </conditionalFormatting>
  <conditionalFormatting sqref="CB137">
    <cfRule type="expression" dxfId="184" priority="233">
      <formula>_xlfn.ISFORMULA(CB137)</formula>
    </cfRule>
  </conditionalFormatting>
  <conditionalFormatting sqref="CB136">
    <cfRule type="expression" dxfId="183" priority="232">
      <formula>_xlfn.ISFORMULA(CB136)</formula>
    </cfRule>
  </conditionalFormatting>
  <conditionalFormatting sqref="CG137">
    <cfRule type="expression" dxfId="182" priority="231">
      <formula>_xlfn.ISFORMULA(CG137)</formula>
    </cfRule>
  </conditionalFormatting>
  <conditionalFormatting sqref="CG136">
    <cfRule type="expression" dxfId="181" priority="230">
      <formula>_xlfn.ISFORMULA(CG136)</formula>
    </cfRule>
  </conditionalFormatting>
  <conditionalFormatting sqref="CL137">
    <cfRule type="expression" dxfId="180" priority="229">
      <formula>_xlfn.ISFORMULA(CL137)</formula>
    </cfRule>
  </conditionalFormatting>
  <conditionalFormatting sqref="CL136">
    <cfRule type="expression" dxfId="179" priority="228">
      <formula>_xlfn.ISFORMULA(CL136)</formula>
    </cfRule>
  </conditionalFormatting>
  <conditionalFormatting sqref="CV137">
    <cfRule type="expression" dxfId="178" priority="227">
      <formula>_xlfn.ISFORMULA(CV137)</formula>
    </cfRule>
  </conditionalFormatting>
  <conditionalFormatting sqref="CV136">
    <cfRule type="expression" dxfId="177" priority="226">
      <formula>_xlfn.ISFORMULA(CV136)</formula>
    </cfRule>
  </conditionalFormatting>
  <conditionalFormatting sqref="DA137">
    <cfRule type="expression" dxfId="176" priority="225">
      <formula>_xlfn.ISFORMULA(DA137)</formula>
    </cfRule>
  </conditionalFormatting>
  <conditionalFormatting sqref="DA136">
    <cfRule type="expression" dxfId="175" priority="224">
      <formula>_xlfn.ISFORMULA(DA136)</formula>
    </cfRule>
  </conditionalFormatting>
  <conditionalFormatting sqref="CQ137">
    <cfRule type="expression" dxfId="174" priority="223">
      <formula>_xlfn.ISFORMULA(CQ137)</formula>
    </cfRule>
  </conditionalFormatting>
  <conditionalFormatting sqref="CQ136">
    <cfRule type="expression" dxfId="173" priority="222">
      <formula>_xlfn.ISFORMULA(CQ136)</formula>
    </cfRule>
  </conditionalFormatting>
  <conditionalFormatting sqref="CQ135">
    <cfRule type="expression" dxfId="172" priority="221">
      <formula>_xlfn.ISFORMULA(CQ135)</formula>
    </cfRule>
  </conditionalFormatting>
  <conditionalFormatting sqref="D138:E138">
    <cfRule type="expression" dxfId="171" priority="219">
      <formula>_xlfn.ISFORMULA(INDIRECT(OFFSET(G138, 0, $G$2)))</formula>
    </cfRule>
  </conditionalFormatting>
  <conditionalFormatting sqref="C138">
    <cfRule type="expression" dxfId="170" priority="218">
      <formula>NOT(C138="")</formula>
    </cfRule>
  </conditionalFormatting>
  <conditionalFormatting sqref="S138">
    <cfRule type="expression" dxfId="169" priority="217">
      <formula>_xlfn.ISFORMULA(S138)</formula>
    </cfRule>
  </conditionalFormatting>
  <conditionalFormatting sqref="X138">
    <cfRule type="expression" dxfId="168" priority="216">
      <formula>_xlfn.ISFORMULA(X138)</formula>
    </cfRule>
  </conditionalFormatting>
  <conditionalFormatting sqref="AC138">
    <cfRule type="expression" dxfId="167" priority="215">
      <formula>_xlfn.ISFORMULA(AC138)</formula>
    </cfRule>
  </conditionalFormatting>
  <conditionalFormatting sqref="AH138">
    <cfRule type="expression" dxfId="166" priority="214">
      <formula>_xlfn.ISFORMULA(AH138)</formula>
    </cfRule>
  </conditionalFormatting>
  <conditionalFormatting sqref="AM138">
    <cfRule type="expression" dxfId="165" priority="213">
      <formula>_xlfn.ISFORMULA(AM138)</formula>
    </cfRule>
  </conditionalFormatting>
  <conditionalFormatting sqref="AR138">
    <cfRule type="expression" dxfId="164" priority="212">
      <formula>_xlfn.ISFORMULA(AR138)</formula>
    </cfRule>
  </conditionalFormatting>
  <conditionalFormatting sqref="AW138">
    <cfRule type="expression" dxfId="163" priority="211">
      <formula>_xlfn.ISFORMULA(AW138)</formula>
    </cfRule>
  </conditionalFormatting>
  <conditionalFormatting sqref="BM138">
    <cfRule type="expression" dxfId="162" priority="210">
      <formula>_xlfn.ISFORMULA(BM138)</formula>
    </cfRule>
  </conditionalFormatting>
  <conditionalFormatting sqref="BR138">
    <cfRule type="expression" dxfId="161" priority="209">
      <formula>_xlfn.ISFORMULA(BR138)</formula>
    </cfRule>
  </conditionalFormatting>
  <conditionalFormatting sqref="BW138">
    <cfRule type="expression" dxfId="160" priority="208">
      <formula>_xlfn.ISFORMULA(BW138)</formula>
    </cfRule>
  </conditionalFormatting>
  <conditionalFormatting sqref="CB138">
    <cfRule type="expression" dxfId="159" priority="207">
      <formula>_xlfn.ISFORMULA(CB138)</formula>
    </cfRule>
  </conditionalFormatting>
  <conditionalFormatting sqref="CG138">
    <cfRule type="expression" dxfId="158" priority="206">
      <formula>_xlfn.ISFORMULA(CG138)</formula>
    </cfRule>
  </conditionalFormatting>
  <conditionalFormatting sqref="CL138">
    <cfRule type="expression" dxfId="157" priority="205">
      <formula>_xlfn.ISFORMULA(CL138)</formula>
    </cfRule>
  </conditionalFormatting>
  <conditionalFormatting sqref="CV138">
    <cfRule type="expression" dxfId="156" priority="204">
      <formula>_xlfn.ISFORMULA(CV138)</formula>
    </cfRule>
  </conditionalFormatting>
  <conditionalFormatting sqref="DA138">
    <cfRule type="expression" dxfId="155" priority="203">
      <formula>_xlfn.ISFORMULA(DA138)</formula>
    </cfRule>
  </conditionalFormatting>
  <conditionalFormatting sqref="CQ138">
    <cfRule type="expression" dxfId="154" priority="202">
      <formula>_xlfn.ISFORMULA(CQ138)</formula>
    </cfRule>
  </conditionalFormatting>
  <conditionalFormatting sqref="S141">
    <cfRule type="expression" dxfId="153" priority="201">
      <formula>_xlfn.ISFORMULA(S141)</formula>
    </cfRule>
  </conditionalFormatting>
  <conditionalFormatting sqref="CQ141">
    <cfRule type="expression" dxfId="152" priority="185">
      <formula>_xlfn.ISFORMULA(CQ141)</formula>
    </cfRule>
  </conditionalFormatting>
  <conditionalFormatting sqref="X141">
    <cfRule type="expression" dxfId="151" priority="199">
      <formula>_xlfn.ISFORMULA(X141)</formula>
    </cfRule>
  </conditionalFormatting>
  <conditionalFormatting sqref="AC141">
    <cfRule type="expression" dxfId="150" priority="198">
      <formula>_xlfn.ISFORMULA(AC141)</formula>
    </cfRule>
  </conditionalFormatting>
  <conditionalFormatting sqref="AH141">
    <cfRule type="expression" dxfId="149" priority="197">
      <formula>_xlfn.ISFORMULA(AH141)</formula>
    </cfRule>
  </conditionalFormatting>
  <conditionalFormatting sqref="AM141">
    <cfRule type="expression" dxfId="148" priority="196">
      <formula>_xlfn.ISFORMULA(AM141)</formula>
    </cfRule>
  </conditionalFormatting>
  <conditionalFormatting sqref="AR141">
    <cfRule type="expression" dxfId="147" priority="195">
      <formula>_xlfn.ISFORMULA(AR141)</formula>
    </cfRule>
  </conditionalFormatting>
  <conditionalFormatting sqref="AW141">
    <cfRule type="expression" dxfId="146" priority="194">
      <formula>_xlfn.ISFORMULA(AW141)</formula>
    </cfRule>
  </conditionalFormatting>
  <conditionalFormatting sqref="BM141">
    <cfRule type="expression" dxfId="145" priority="193">
      <formula>_xlfn.ISFORMULA(BM141)</formula>
    </cfRule>
  </conditionalFormatting>
  <conditionalFormatting sqref="BR141">
    <cfRule type="expression" dxfId="144" priority="192">
      <formula>_xlfn.ISFORMULA(BR141)</formula>
    </cfRule>
  </conditionalFormatting>
  <conditionalFormatting sqref="BW141">
    <cfRule type="expression" dxfId="143" priority="191">
      <formula>_xlfn.ISFORMULA(BW141)</formula>
    </cfRule>
  </conditionalFormatting>
  <conditionalFormatting sqref="CB141">
    <cfRule type="expression" dxfId="142" priority="190">
      <formula>_xlfn.ISFORMULA(CB141)</formula>
    </cfRule>
  </conditionalFormatting>
  <conditionalFormatting sqref="CG141">
    <cfRule type="expression" dxfId="141" priority="189">
      <formula>_xlfn.ISFORMULA(CG141)</formula>
    </cfRule>
  </conditionalFormatting>
  <conditionalFormatting sqref="CL141">
    <cfRule type="expression" dxfId="140" priority="188">
      <formula>_xlfn.ISFORMULA(CL141)</formula>
    </cfRule>
  </conditionalFormatting>
  <conditionalFormatting sqref="CV141">
    <cfRule type="expression" dxfId="139" priority="187">
      <formula>_xlfn.ISFORMULA(CV141)</formula>
    </cfRule>
  </conditionalFormatting>
  <conditionalFormatting sqref="DA141">
    <cfRule type="expression" dxfId="138" priority="186">
      <formula>_xlfn.ISFORMULA(DA141)</formula>
    </cfRule>
  </conditionalFormatting>
  <conditionalFormatting sqref="S20">
    <cfRule type="expression" dxfId="137" priority="184">
      <formula>_xlfn.ISFORMULA(S20)</formula>
    </cfRule>
  </conditionalFormatting>
  <conditionalFormatting sqref="AH20">
    <cfRule type="expression" dxfId="136" priority="183">
      <formula>_xlfn.ISFORMULA(AH20)</formula>
    </cfRule>
  </conditionalFormatting>
  <conditionalFormatting sqref="AM20">
    <cfRule type="expression" dxfId="135" priority="182">
      <formula>_xlfn.ISFORMULA(AM20)</formula>
    </cfRule>
  </conditionalFormatting>
  <conditionalFormatting sqref="AR20">
    <cfRule type="expression" dxfId="134" priority="181">
      <formula>_xlfn.ISFORMULA(AR20)</formula>
    </cfRule>
  </conditionalFormatting>
  <conditionalFormatting sqref="AW20">
    <cfRule type="expression" dxfId="133" priority="180">
      <formula>_xlfn.ISFORMULA(AW20)</formula>
    </cfRule>
  </conditionalFormatting>
  <conditionalFormatting sqref="BM20">
    <cfRule type="expression" dxfId="132" priority="179">
      <formula>_xlfn.ISFORMULA(BM20)</formula>
    </cfRule>
  </conditionalFormatting>
  <conditionalFormatting sqref="BR20">
    <cfRule type="expression" dxfId="131" priority="178">
      <formula>_xlfn.ISFORMULA(BR20)</formula>
    </cfRule>
  </conditionalFormatting>
  <conditionalFormatting sqref="CB20">
    <cfRule type="expression" dxfId="130" priority="177">
      <formula>_xlfn.ISFORMULA(CB20)</formula>
    </cfRule>
  </conditionalFormatting>
  <conditionalFormatting sqref="CL20">
    <cfRule type="expression" dxfId="129" priority="176">
      <formula>_xlfn.ISFORMULA(CL20)</formula>
    </cfRule>
  </conditionalFormatting>
  <conditionalFormatting sqref="CV20">
    <cfRule type="expression" dxfId="128" priority="175">
      <formula>_xlfn.ISFORMULA(CV20)</formula>
    </cfRule>
  </conditionalFormatting>
  <conditionalFormatting sqref="DA20">
    <cfRule type="expression" dxfId="127" priority="174">
      <formula>_xlfn.ISFORMULA(DA20)</formula>
    </cfRule>
  </conditionalFormatting>
  <conditionalFormatting sqref="S50">
    <cfRule type="expression" dxfId="126" priority="173">
      <formula>_xlfn.ISFORMULA(S50)</formula>
    </cfRule>
  </conditionalFormatting>
  <conditionalFormatting sqref="S50">
    <cfRule type="expression" dxfId="125" priority="172">
      <formula>_xlfn.ISFORMULA(S50)</formula>
    </cfRule>
  </conditionalFormatting>
  <conditionalFormatting sqref="X50">
    <cfRule type="expression" dxfId="124" priority="171">
      <formula>_xlfn.ISFORMULA(X50)</formula>
    </cfRule>
  </conditionalFormatting>
  <conditionalFormatting sqref="AC50">
    <cfRule type="expression" dxfId="123" priority="170">
      <formula>_xlfn.ISFORMULA(AC50)</formula>
    </cfRule>
  </conditionalFormatting>
  <conditionalFormatting sqref="AH50">
    <cfRule type="expression" dxfId="122" priority="169">
      <formula>_xlfn.ISFORMULA(AH50)</formula>
    </cfRule>
  </conditionalFormatting>
  <conditionalFormatting sqref="AM50">
    <cfRule type="expression" dxfId="121" priority="168">
      <formula>_xlfn.ISFORMULA(AM50)</formula>
    </cfRule>
  </conditionalFormatting>
  <conditionalFormatting sqref="AM50">
    <cfRule type="expression" dxfId="120" priority="167">
      <formula>_xlfn.ISFORMULA(AM50)</formula>
    </cfRule>
  </conditionalFormatting>
  <conditionalFormatting sqref="AR50">
    <cfRule type="expression" dxfId="119" priority="166">
      <formula>_xlfn.ISFORMULA(AR50)</formula>
    </cfRule>
  </conditionalFormatting>
  <conditionalFormatting sqref="AR50">
    <cfRule type="expression" dxfId="118" priority="165">
      <formula>_xlfn.ISFORMULA(AR50)</formula>
    </cfRule>
  </conditionalFormatting>
  <conditionalFormatting sqref="AW50">
    <cfRule type="expression" dxfId="117" priority="164">
      <formula>_xlfn.ISFORMULA(AW50)</formula>
    </cfRule>
  </conditionalFormatting>
  <conditionalFormatting sqref="AW50">
    <cfRule type="expression" dxfId="116" priority="163">
      <formula>_xlfn.ISFORMULA(AW50)</formula>
    </cfRule>
  </conditionalFormatting>
  <conditionalFormatting sqref="BM50">
    <cfRule type="expression" dxfId="115" priority="162">
      <formula>_xlfn.ISFORMULA(BM50)</formula>
    </cfRule>
  </conditionalFormatting>
  <conditionalFormatting sqref="BM50">
    <cfRule type="expression" dxfId="114" priority="161">
      <formula>_xlfn.ISFORMULA(BM50)</formula>
    </cfRule>
  </conditionalFormatting>
  <conditionalFormatting sqref="BR50">
    <cfRule type="expression" dxfId="113" priority="160">
      <formula>_xlfn.ISFORMULA(BR50)</formula>
    </cfRule>
  </conditionalFormatting>
  <conditionalFormatting sqref="BR50">
    <cfRule type="expression" dxfId="112" priority="159">
      <formula>_xlfn.ISFORMULA(BR50)</formula>
    </cfRule>
  </conditionalFormatting>
  <conditionalFormatting sqref="BW50">
    <cfRule type="expression" dxfId="111" priority="158">
      <formula>_xlfn.ISFORMULA(BW50)</formula>
    </cfRule>
  </conditionalFormatting>
  <conditionalFormatting sqref="BW50">
    <cfRule type="expression" dxfId="110" priority="157">
      <formula>_xlfn.ISFORMULA(BW50)</formula>
    </cfRule>
  </conditionalFormatting>
  <conditionalFormatting sqref="CB50">
    <cfRule type="expression" dxfId="109" priority="156">
      <formula>_xlfn.ISFORMULA(CB50)</formula>
    </cfRule>
  </conditionalFormatting>
  <conditionalFormatting sqref="CB50">
    <cfRule type="expression" dxfId="108" priority="155">
      <formula>_xlfn.ISFORMULA(CB50)</formula>
    </cfRule>
  </conditionalFormatting>
  <conditionalFormatting sqref="CG50">
    <cfRule type="expression" dxfId="107" priority="154">
      <formula>_xlfn.ISFORMULA(CG50)</formula>
    </cfRule>
  </conditionalFormatting>
  <conditionalFormatting sqref="CG50">
    <cfRule type="expression" dxfId="106" priority="153">
      <formula>_xlfn.ISFORMULA(CG50)</formula>
    </cfRule>
  </conditionalFormatting>
  <conditionalFormatting sqref="CL50">
    <cfRule type="expression" dxfId="105" priority="152">
      <formula>_xlfn.ISFORMULA(CL50)</formula>
    </cfRule>
  </conditionalFormatting>
  <conditionalFormatting sqref="CL50">
    <cfRule type="expression" dxfId="104" priority="151">
      <formula>_xlfn.ISFORMULA(CL50)</formula>
    </cfRule>
  </conditionalFormatting>
  <conditionalFormatting sqref="CQ50">
    <cfRule type="expression" dxfId="103" priority="150">
      <formula>_xlfn.ISFORMULA(CQ50)</formula>
    </cfRule>
  </conditionalFormatting>
  <conditionalFormatting sqref="CQ50">
    <cfRule type="expression" dxfId="102" priority="149">
      <formula>_xlfn.ISFORMULA(CQ50)</formula>
    </cfRule>
  </conditionalFormatting>
  <conditionalFormatting sqref="CV50">
    <cfRule type="expression" dxfId="101" priority="148">
      <formula>_xlfn.ISFORMULA(CV50)</formula>
    </cfRule>
  </conditionalFormatting>
  <conditionalFormatting sqref="C149:C151">
    <cfRule type="expression" dxfId="100" priority="146">
      <formula>NOT(C149="")</formula>
    </cfRule>
  </conditionalFormatting>
  <conditionalFormatting sqref="C152">
    <cfRule type="expression" dxfId="99" priority="145">
      <formula>NOT(C152="")</formula>
    </cfRule>
  </conditionalFormatting>
  <conditionalFormatting sqref="C155:C157">
    <cfRule type="expression" dxfId="98" priority="144">
      <formula>NOT(C155="")</formula>
    </cfRule>
  </conditionalFormatting>
  <conditionalFormatting sqref="C158">
    <cfRule type="expression" dxfId="97" priority="143">
      <formula>NOT(C158="")</formula>
    </cfRule>
  </conditionalFormatting>
  <conditionalFormatting sqref="C161:C163">
    <cfRule type="expression" dxfId="96" priority="142">
      <formula>NOT(C161="")</formula>
    </cfRule>
  </conditionalFormatting>
  <conditionalFormatting sqref="C164">
    <cfRule type="expression" dxfId="95" priority="141">
      <formula>NOT(C164="")</formula>
    </cfRule>
  </conditionalFormatting>
  <conditionalFormatting sqref="BB27:BB28 BB30 BB8:BB10 BG8:BG10">
    <cfRule type="expression" dxfId="94" priority="140">
      <formula>_xlfn.ISFORMULA(BB8)</formula>
    </cfRule>
  </conditionalFormatting>
  <conditionalFormatting sqref="BB66:BB68 BB71:BB74">
    <cfRule type="expression" dxfId="93" priority="139">
      <formula>_xlfn.ISFORMULA(BB66)</formula>
    </cfRule>
  </conditionalFormatting>
  <conditionalFormatting sqref="BB27:BB29">
    <cfRule type="expression" dxfId="92" priority="138">
      <formula>_xlfn.ISFORMULA(BB27)</formula>
    </cfRule>
  </conditionalFormatting>
  <conditionalFormatting sqref="BB109">
    <cfRule type="expression" dxfId="91" priority="114">
      <formula>_xlfn.ISFORMULA(BB109)</formula>
    </cfRule>
  </conditionalFormatting>
  <conditionalFormatting sqref="BB23:BB25">
    <cfRule type="expression" dxfId="90" priority="135">
      <formula>_xlfn.ISFORMULA(BB23)</formula>
    </cfRule>
  </conditionalFormatting>
  <conditionalFormatting sqref="BB11:BB16 BB18:BB19 BB21:BB22">
    <cfRule type="expression" dxfId="89" priority="137">
      <formula>_xlfn.ISFORMULA(BB11)</formula>
    </cfRule>
  </conditionalFormatting>
  <conditionalFormatting sqref="BB25">
    <cfRule type="expression" dxfId="88" priority="136">
      <formula>_xlfn.ISFORMULA(BB25)</formula>
    </cfRule>
  </conditionalFormatting>
  <conditionalFormatting sqref="BB18:BB19">
    <cfRule type="expression" dxfId="87" priority="134">
      <formula>_xlfn.ISFORMULA(BB18)</formula>
    </cfRule>
  </conditionalFormatting>
  <conditionalFormatting sqref="BB17">
    <cfRule type="expression" dxfId="86" priority="133">
      <formula>_xlfn.ISFORMULA(BB17)</formula>
    </cfRule>
  </conditionalFormatting>
  <conditionalFormatting sqref="BB17">
    <cfRule type="expression" dxfId="85" priority="132">
      <formula>_xlfn.ISFORMULA(BB17)</formula>
    </cfRule>
  </conditionalFormatting>
  <conditionalFormatting sqref="BB26">
    <cfRule type="expression" dxfId="84" priority="131">
      <formula>_xlfn.ISFORMULA(BB26)</formula>
    </cfRule>
  </conditionalFormatting>
  <conditionalFormatting sqref="BB45:BB49 BB51:BB52">
    <cfRule type="expression" dxfId="83" priority="130">
      <formula>_xlfn.ISFORMULA(BB45)</formula>
    </cfRule>
  </conditionalFormatting>
  <conditionalFormatting sqref="BB62:BB65 BB46:BB49">
    <cfRule type="expression" dxfId="82" priority="129">
      <formula>_xlfn.ISFORMULA(BB46)</formula>
    </cfRule>
  </conditionalFormatting>
  <conditionalFormatting sqref="BB58:BB60">
    <cfRule type="expression" dxfId="81" priority="124">
      <formula>_xlfn.ISFORMULA(BB58)</formula>
    </cfRule>
  </conditionalFormatting>
  <conditionalFormatting sqref="BB44">
    <cfRule type="expression" dxfId="80" priority="127">
      <formula>_xlfn.ISFORMULA(BB44)</formula>
    </cfRule>
  </conditionalFormatting>
  <conditionalFormatting sqref="BB41:BB43">
    <cfRule type="expression" dxfId="79" priority="126">
      <formula>_xlfn.ISFORMULA(BB41)</formula>
    </cfRule>
  </conditionalFormatting>
  <conditionalFormatting sqref="BB53:BB57">
    <cfRule type="expression" dxfId="78" priority="125">
      <formula>_xlfn.ISFORMULA(BB53)</formula>
    </cfRule>
  </conditionalFormatting>
  <conditionalFormatting sqref="BB55">
    <cfRule type="expression" dxfId="77" priority="123">
      <formula>_xlfn.ISFORMULA(BB55)</formula>
    </cfRule>
  </conditionalFormatting>
  <conditionalFormatting sqref="BB91">
    <cfRule type="expression" dxfId="76" priority="122">
      <formula>_xlfn.ISFORMULA(BB91)</formula>
    </cfRule>
  </conditionalFormatting>
  <conditionalFormatting sqref="BB75:BB85">
    <cfRule type="expression" dxfId="75" priority="121">
      <formula>_xlfn.ISFORMULA(BB75)</formula>
    </cfRule>
  </conditionalFormatting>
  <conditionalFormatting sqref="BB86:BB90">
    <cfRule type="expression" dxfId="74" priority="120">
      <formula>_xlfn.ISFORMULA(BB86)</formula>
    </cfRule>
  </conditionalFormatting>
  <conditionalFormatting sqref="BB114">
    <cfRule type="expression" dxfId="73" priority="111">
      <formula>_xlfn.ISFORMULA(BB114)</formula>
    </cfRule>
  </conditionalFormatting>
  <conditionalFormatting sqref="BB127">
    <cfRule type="expression" dxfId="72" priority="110">
      <formula>_xlfn.ISFORMULA(BB127)</formula>
    </cfRule>
  </conditionalFormatting>
  <conditionalFormatting sqref="BB132">
    <cfRule type="expression" dxfId="71" priority="119">
      <formula>_xlfn.ISFORMULA(BB132)</formula>
    </cfRule>
  </conditionalFormatting>
  <conditionalFormatting sqref="BB123">
    <cfRule type="expression" dxfId="70" priority="118">
      <formula>_xlfn.ISFORMULA(BB123)</formula>
    </cfRule>
  </conditionalFormatting>
  <conditionalFormatting sqref="BB122">
    <cfRule type="expression" dxfId="69" priority="117">
      <formula>_xlfn.ISFORMULA(BB122)</formula>
    </cfRule>
  </conditionalFormatting>
  <conditionalFormatting sqref="BB119">
    <cfRule type="expression" dxfId="68" priority="116">
      <formula>_xlfn.ISFORMULA(BB119)</formula>
    </cfRule>
  </conditionalFormatting>
  <conditionalFormatting sqref="BB110">
    <cfRule type="expression" dxfId="67" priority="115">
      <formula>_xlfn.ISFORMULA(BB110)</formula>
    </cfRule>
  </conditionalFormatting>
  <conditionalFormatting sqref="BG56:BG57">
    <cfRule type="expression" dxfId="66" priority="89">
      <formula>_xlfn.ISFORMULA(BG56)</formula>
    </cfRule>
  </conditionalFormatting>
  <conditionalFormatting sqref="BB139">
    <cfRule type="expression" dxfId="65" priority="113">
      <formula>_xlfn.ISFORMULA(BB139)</formula>
    </cfRule>
  </conditionalFormatting>
  <conditionalFormatting sqref="BB142">
    <cfRule type="expression" dxfId="64" priority="112">
      <formula>_xlfn.ISFORMULA(BB142)</formula>
    </cfRule>
  </conditionalFormatting>
  <conditionalFormatting sqref="BG75:BG85">
    <cfRule type="expression" dxfId="63" priority="106">
      <formula>_xlfn.ISFORMULA(BG75)</formula>
    </cfRule>
  </conditionalFormatting>
  <conditionalFormatting sqref="BG66:BG68 BG71:BG74">
    <cfRule type="expression" dxfId="62" priority="109">
      <formula>_xlfn.ISFORMULA(BG66)</formula>
    </cfRule>
  </conditionalFormatting>
  <conditionalFormatting sqref="BG132">
    <cfRule type="expression" dxfId="61" priority="104">
      <formula>_xlfn.ISFORMULA(BG132)</formula>
    </cfRule>
  </conditionalFormatting>
  <conditionalFormatting sqref="BG119">
    <cfRule type="expression" dxfId="60" priority="101">
      <formula>_xlfn.ISFORMULA(BG119)</formula>
    </cfRule>
  </conditionalFormatting>
  <conditionalFormatting sqref="BG123">
    <cfRule type="expression" dxfId="59" priority="103">
      <formula>_xlfn.ISFORMULA(BG123)</formula>
    </cfRule>
  </conditionalFormatting>
  <conditionalFormatting sqref="BG122">
    <cfRule type="expression" dxfId="58" priority="102">
      <formula>_xlfn.ISFORMULA(BG122)</formula>
    </cfRule>
  </conditionalFormatting>
  <conditionalFormatting sqref="BG110">
    <cfRule type="expression" dxfId="57" priority="100">
      <formula>_xlfn.ISFORMULA(BG110)</formula>
    </cfRule>
  </conditionalFormatting>
  <conditionalFormatting sqref="BG109">
    <cfRule type="expression" dxfId="56" priority="99">
      <formula>_xlfn.ISFORMULA(BG109)</formula>
    </cfRule>
  </conditionalFormatting>
  <conditionalFormatting sqref="BG139">
    <cfRule type="expression" dxfId="55" priority="98">
      <formula>_xlfn.ISFORMULA(BG139)</formula>
    </cfRule>
  </conditionalFormatting>
  <conditionalFormatting sqref="BG142">
    <cfRule type="expression" dxfId="54" priority="97">
      <formula>_xlfn.ISFORMULA(BG142)</formula>
    </cfRule>
  </conditionalFormatting>
  <conditionalFormatting sqref="BG62:BG65">
    <cfRule type="expression" dxfId="53" priority="108">
      <formula>_xlfn.ISFORMULA(BG62)</formula>
    </cfRule>
  </conditionalFormatting>
  <conditionalFormatting sqref="BG27:BG29">
    <cfRule type="expression" dxfId="52" priority="92">
      <formula>_xlfn.ISFORMULA(BG27)</formula>
    </cfRule>
  </conditionalFormatting>
  <conditionalFormatting sqref="BG114">
    <cfRule type="expression" dxfId="51" priority="96">
      <formula>_xlfn.ISFORMULA(BG114)</formula>
    </cfRule>
  </conditionalFormatting>
  <conditionalFormatting sqref="BG127">
    <cfRule type="expression" dxfId="50" priority="95">
      <formula>_xlfn.ISFORMULA(BG127)</formula>
    </cfRule>
  </conditionalFormatting>
  <conditionalFormatting sqref="BG27:BG28 BG30 BG45:BG49 BG51:BG52">
    <cfRule type="expression" dxfId="49" priority="94">
      <formula>_xlfn.ISFORMULA(BG27)</formula>
    </cfRule>
  </conditionalFormatting>
  <conditionalFormatting sqref="BG46:BG49">
    <cfRule type="expression" dxfId="48" priority="93">
      <formula>_xlfn.ISFORMULA(BG46)</formula>
    </cfRule>
  </conditionalFormatting>
  <conditionalFormatting sqref="BG25">
    <cfRule type="expression" dxfId="47" priority="91">
      <formula>_xlfn.ISFORMULA(BG25)</formula>
    </cfRule>
  </conditionalFormatting>
  <conditionalFormatting sqref="BG91">
    <cfRule type="expression" dxfId="46" priority="107">
      <formula>_xlfn.ISFORMULA(BG91)</formula>
    </cfRule>
  </conditionalFormatting>
  <conditionalFormatting sqref="BG86:BG90">
    <cfRule type="expression" dxfId="45" priority="105">
      <formula>_xlfn.ISFORMULA(BG86)</formula>
    </cfRule>
  </conditionalFormatting>
  <conditionalFormatting sqref="BG11:BG19 BG21:BG22">
    <cfRule type="expression" dxfId="44" priority="87">
      <formula>_xlfn.ISFORMULA(BG11)</formula>
    </cfRule>
  </conditionalFormatting>
  <conditionalFormatting sqref="BG25:BG26">
    <cfRule type="expression" dxfId="43" priority="90">
      <formula>_xlfn.ISFORMULA(BG25)</formula>
    </cfRule>
  </conditionalFormatting>
  <conditionalFormatting sqref="BG58">
    <cfRule type="expression" dxfId="42" priority="88">
      <formula>_xlfn.ISFORMULA(BG58)</formula>
    </cfRule>
  </conditionalFormatting>
  <conditionalFormatting sqref="BG23:BG24">
    <cfRule type="expression" dxfId="41" priority="86">
      <formula>_xlfn.ISFORMULA(BG23)</formula>
    </cfRule>
  </conditionalFormatting>
  <conditionalFormatting sqref="BG17:BG19">
    <cfRule type="expression" dxfId="40" priority="85">
      <formula>_xlfn.ISFORMULA(BG17)</formula>
    </cfRule>
  </conditionalFormatting>
  <conditionalFormatting sqref="BG41:BG43">
    <cfRule type="expression" dxfId="39" priority="82">
      <formula>_xlfn.ISFORMULA(BG41)</formula>
    </cfRule>
  </conditionalFormatting>
  <conditionalFormatting sqref="BG44 BG40">
    <cfRule type="expression" dxfId="38" priority="83">
      <formula>_xlfn.ISFORMULA(BG40)</formula>
    </cfRule>
  </conditionalFormatting>
  <conditionalFormatting sqref="BG38:BG39">
    <cfRule type="expression" dxfId="37" priority="81">
      <formula>_xlfn.ISFORMULA(BG38)</formula>
    </cfRule>
  </conditionalFormatting>
  <conditionalFormatting sqref="BG53:BG55">
    <cfRule type="expression" dxfId="36" priority="80">
      <formula>_xlfn.ISFORMULA(BG53)</formula>
    </cfRule>
  </conditionalFormatting>
  <conditionalFormatting sqref="BG55">
    <cfRule type="expression" dxfId="35" priority="79">
      <formula>_xlfn.ISFORMULA(BG55)</formula>
    </cfRule>
  </conditionalFormatting>
  <conditionalFormatting sqref="BG59:BG60">
    <cfRule type="expression" dxfId="34" priority="78">
      <formula>_xlfn.ISFORMULA(BG59)</formula>
    </cfRule>
  </conditionalFormatting>
  <conditionalFormatting sqref="BG69">
    <cfRule type="expression" dxfId="33" priority="77">
      <formula>_xlfn.ISFORMULA(BG69)</formula>
    </cfRule>
  </conditionalFormatting>
  <conditionalFormatting sqref="BG70">
    <cfRule type="expression" dxfId="32" priority="76">
      <formula>_xlfn.ISFORMULA(BG70)</formula>
    </cfRule>
  </conditionalFormatting>
  <conditionalFormatting sqref="BB69">
    <cfRule type="expression" dxfId="31" priority="75">
      <formula>_xlfn.ISFORMULA(BB69)</formula>
    </cfRule>
  </conditionalFormatting>
  <conditionalFormatting sqref="BB70">
    <cfRule type="expression" dxfId="30" priority="74">
      <formula>_xlfn.ISFORMULA(BB70)</formula>
    </cfRule>
  </conditionalFormatting>
  <conditionalFormatting sqref="BB137">
    <cfRule type="expression" dxfId="29" priority="73">
      <formula>_xlfn.ISFORMULA(BB137)</formula>
    </cfRule>
  </conditionalFormatting>
  <conditionalFormatting sqref="BB136">
    <cfRule type="expression" dxfId="28" priority="72">
      <formula>_xlfn.ISFORMULA(BB136)</formula>
    </cfRule>
  </conditionalFormatting>
  <conditionalFormatting sqref="BG137">
    <cfRule type="expression" dxfId="27" priority="71">
      <formula>_xlfn.ISFORMULA(BG137)</formula>
    </cfRule>
  </conditionalFormatting>
  <conditionalFormatting sqref="BG136">
    <cfRule type="expression" dxfId="26" priority="70">
      <formula>_xlfn.ISFORMULA(BG136)</formula>
    </cfRule>
  </conditionalFormatting>
  <conditionalFormatting sqref="BB138">
    <cfRule type="expression" dxfId="25" priority="69">
      <formula>_xlfn.ISFORMULA(BB138)</formula>
    </cfRule>
  </conditionalFormatting>
  <conditionalFormatting sqref="BG138">
    <cfRule type="expression" dxfId="24" priority="68">
      <formula>_xlfn.ISFORMULA(BG138)</formula>
    </cfRule>
  </conditionalFormatting>
  <conditionalFormatting sqref="BB141">
    <cfRule type="expression" dxfId="23" priority="67">
      <formula>_xlfn.ISFORMULA(BB141)</formula>
    </cfRule>
  </conditionalFormatting>
  <conditionalFormatting sqref="BG141">
    <cfRule type="expression" dxfId="22" priority="66">
      <formula>_xlfn.ISFORMULA(BG141)</formula>
    </cfRule>
  </conditionalFormatting>
  <conditionalFormatting sqref="BB20">
    <cfRule type="expression" dxfId="21" priority="65">
      <formula>_xlfn.ISFORMULA(BB20)</formula>
    </cfRule>
  </conditionalFormatting>
  <conditionalFormatting sqref="BG20">
    <cfRule type="expression" dxfId="20" priority="64">
      <formula>_xlfn.ISFORMULA(BG20)</formula>
    </cfRule>
  </conditionalFormatting>
  <conditionalFormatting sqref="BB50">
    <cfRule type="expression" dxfId="19" priority="63">
      <formula>_xlfn.ISFORMULA(BB50)</formula>
    </cfRule>
  </conditionalFormatting>
  <conditionalFormatting sqref="BB50">
    <cfRule type="expression" dxfId="18" priority="62">
      <formula>_xlfn.ISFORMULA(BB50)</formula>
    </cfRule>
  </conditionalFormatting>
  <conditionalFormatting sqref="BG50">
    <cfRule type="expression" dxfId="17" priority="61">
      <formula>_xlfn.ISFORMULA(BG50)</formula>
    </cfRule>
  </conditionalFormatting>
  <conditionalFormatting sqref="BG50">
    <cfRule type="expression" dxfId="16" priority="60">
      <formula>_xlfn.ISFORMULA(BG50)</formula>
    </cfRule>
  </conditionalFormatting>
  <conditionalFormatting sqref="C84">
    <cfRule type="expression" dxfId="15" priority="59">
      <formula>NOT(C84="")</formula>
    </cfRule>
  </conditionalFormatting>
  <conditionalFormatting sqref="C90">
    <cfRule type="expression" dxfId="14" priority="58">
      <formula>NOT(C90="")</formula>
    </cfRule>
  </conditionalFormatting>
  <conditionalFormatting sqref="C78">
    <cfRule type="expression" dxfId="13" priority="57">
      <formula>NOT(C78="")</formula>
    </cfRule>
  </conditionalFormatting>
  <dataValidations count="2">
    <dataValidation allowBlank="1" showInputMessage="1" showErrorMessage="1" errorTitle="Override Error" error="An override value was found on the Dashboard sheet. Either remove override from the corresponding cell on Dashboard or change the override on Dashboard" sqref="G75:G84 F25:F33 F37:F164 F22:F23 F8:F13 F15:F20" xr:uid="{00000000-0002-0000-0300-000001000000}"/>
    <dataValidation type="list" showInputMessage="1" showErrorMessage="1" errorTitle="Override Error" error="An override value was found on the Dashboard sheet. Either remove override from the corresponding cell on Dashboard or change the override on Dashboard" sqref="F14" xr:uid="{3F9213F1-E69A-47D2-A994-07C663090D5D}">
      <formula1>" ,Water,NMP"</formula1>
    </dataValidation>
  </dataValidations>
  <hyperlinks>
    <hyperlink ref="H2" location="Dashboard!A1" display="Dashboard" xr:uid="{00000000-0004-0000-0300-000000000000}"/>
    <hyperlink ref="H3" location="'Summary of Results'!A1" display="Summary of Results" xr:uid="{00000000-0004-0000-0300-000001000000}"/>
    <hyperlink ref="H4" location="Chem!A1" display="Chem" xr:uid="{00000000-0004-0000-0300-000002000000}"/>
    <hyperlink ref="H5" location="'Battery Design'!A1" display="Battery Design" xr:uid="{00000000-0004-0000-0300-000003000000}"/>
    <hyperlink ref="H6" location="BMS!A1" display="BMS" xr:uid="{00000000-0004-0000-0300-000004000000}"/>
    <hyperlink ref="I2" location="'Manufacturing Costs'!A1" display="Manufacturing Costs" xr:uid="{00000000-0004-0000-0300-000005000000}"/>
    <hyperlink ref="I3" location="'Cost Input'!A1" display="Cost Input" xr:uid="{00000000-0004-0000-0300-000006000000}"/>
    <hyperlink ref="I4" location="'Cost Breakdown'!A1" display="Cost Breakdown" xr:uid="{00000000-0004-0000-0300-000007000000}"/>
    <hyperlink ref="I5" location="Recycle!A1" display="Recycle" xr:uid="{00000000-0004-0000-0300-000008000000}"/>
    <hyperlink ref="I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CS7 CS9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78"/>
  <sheetViews>
    <sheetView workbookViewId="0">
      <pane ySplit="6" topLeftCell="A18" activePane="bottomLeft" state="frozen"/>
      <selection pane="bottomLeft" activeCell="B6" sqref="B6"/>
    </sheetView>
  </sheetViews>
  <sheetFormatPr baseColWidth="10" defaultColWidth="9.5" defaultRowHeight="13" outlineLevelRow="2" x14ac:dyDescent="0.15"/>
  <cols>
    <col min="1" max="1" width="4.5" style="8" customWidth="1"/>
    <col min="2" max="2" width="38.5" style="8" customWidth="1"/>
    <col min="3" max="3" width="10.5" style="8" customWidth="1"/>
    <col min="4" max="4" width="12.5" style="8" customWidth="1"/>
    <col min="5" max="5" width="11" style="8" customWidth="1"/>
    <col min="6" max="6" width="10.5" style="8" customWidth="1"/>
    <col min="7" max="9" width="13.5" style="8" customWidth="1"/>
    <col min="10" max="13" width="10.5" style="8" customWidth="1"/>
    <col min="14" max="14" width="18.5" style="8" bestFit="1" customWidth="1"/>
    <col min="15" max="15" width="20.5" style="8" customWidth="1"/>
    <col min="16" max="16" width="26.5" style="8" bestFit="1" customWidth="1"/>
    <col min="17" max="17" width="12.5" style="8" customWidth="1"/>
    <col min="18" max="18" width="12" style="8" customWidth="1"/>
    <col min="19" max="19" width="11.5" style="8" customWidth="1"/>
    <col min="20" max="20" width="7.5" style="8" customWidth="1"/>
    <col min="21" max="21" width="10.5" style="8" customWidth="1"/>
    <col min="22" max="23" width="12" style="8" customWidth="1"/>
    <col min="24" max="24" width="10.5" style="8" bestFit="1" customWidth="1"/>
    <col min="25" max="25" width="10" style="8" customWidth="1"/>
    <col min="26" max="26" width="12.5" style="8" customWidth="1"/>
    <col min="27" max="27" width="10.5" style="8" customWidth="1"/>
    <col min="28" max="31" width="17.5" style="8" customWidth="1"/>
    <col min="32" max="16384" width="9.5" style="8"/>
  </cols>
  <sheetData>
    <row r="1" spans="1:16" ht="21" thickBot="1" x14ac:dyDescent="0.25">
      <c r="A1" s="1214"/>
      <c r="B1" s="1267" t="s">
        <v>297</v>
      </c>
      <c r="C1" s="1268"/>
      <c r="D1" s="1268"/>
      <c r="E1" s="1268"/>
      <c r="F1" s="1268"/>
      <c r="G1" s="1268"/>
      <c r="H1" s="1268"/>
      <c r="I1" s="1268"/>
      <c r="J1" s="1268"/>
      <c r="K1" s="1268"/>
      <c r="L1" s="1268"/>
      <c r="M1" s="1269"/>
      <c r="N1" s="1260" t="s">
        <v>9</v>
      </c>
      <c r="O1" s="1261"/>
      <c r="P1"/>
    </row>
    <row r="2" spans="1:16" ht="17" thickBot="1" x14ac:dyDescent="0.25">
      <c r="A2" s="1214"/>
      <c r="B2" s="1270" t="str">
        <f>Dashboard!B2</f>
        <v>EV with NMC532-G (Power) Electrodes</v>
      </c>
      <c r="C2" s="1271"/>
      <c r="D2" s="1271"/>
      <c r="E2" s="1271"/>
      <c r="F2" s="1271"/>
      <c r="G2" s="1271"/>
      <c r="H2" s="1271"/>
      <c r="I2" s="1271"/>
      <c r="J2" s="1271"/>
      <c r="K2" s="1271"/>
      <c r="L2" s="1271"/>
      <c r="M2" s="1272"/>
      <c r="N2" s="987" t="s">
        <v>8</v>
      </c>
      <c r="O2" s="988" t="s">
        <v>10</v>
      </c>
      <c r="P2"/>
    </row>
    <row r="3" spans="1:16" ht="16" x14ac:dyDescent="0.2">
      <c r="A3" s="1214"/>
      <c r="B3" s="1291" t="s">
        <v>132</v>
      </c>
      <c r="C3" s="1318"/>
      <c r="D3" s="1318"/>
      <c r="E3" s="1318"/>
      <c r="F3" s="1318"/>
      <c r="G3" s="1318"/>
      <c r="H3" s="1318"/>
      <c r="I3" s="1318"/>
      <c r="J3" s="1318"/>
      <c r="K3" s="1318"/>
      <c r="L3" s="1318"/>
      <c r="M3" s="1319"/>
      <c r="N3" s="989" t="s">
        <v>15</v>
      </c>
      <c r="O3" s="988" t="s">
        <v>16</v>
      </c>
      <c r="P3"/>
    </row>
    <row r="4" spans="1:16" x14ac:dyDescent="0.15">
      <c r="A4" s="1214"/>
      <c r="B4" s="1293" t="s">
        <v>298</v>
      </c>
      <c r="C4" s="1320"/>
      <c r="D4" s="1320"/>
      <c r="E4" s="1321"/>
      <c r="F4" s="181"/>
      <c r="G4" s="1294" t="s">
        <v>12</v>
      </c>
      <c r="H4" s="1325"/>
      <c r="I4" s="1325"/>
      <c r="J4" s="1325"/>
      <c r="K4" s="1325"/>
      <c r="L4" s="1325"/>
      <c r="M4" s="1326"/>
      <c r="N4" s="986" t="s">
        <v>17</v>
      </c>
      <c r="O4" s="988" t="s">
        <v>18</v>
      </c>
      <c r="P4"/>
    </row>
    <row r="5" spans="1:16" ht="14" thickBot="1" x14ac:dyDescent="0.2">
      <c r="A5" s="1214"/>
      <c r="B5" s="1322" t="s">
        <v>13</v>
      </c>
      <c r="C5" s="1323"/>
      <c r="D5" s="1323"/>
      <c r="E5" s="1324"/>
      <c r="F5" s="520"/>
      <c r="G5" s="1297" t="s">
        <v>14</v>
      </c>
      <c r="H5" s="1327"/>
      <c r="I5" s="1327"/>
      <c r="J5" s="1327"/>
      <c r="K5" s="1327"/>
      <c r="L5" s="1327"/>
      <c r="M5" s="1328"/>
      <c r="N5" s="986" t="s">
        <v>20</v>
      </c>
      <c r="O5" s="992" t="s">
        <v>21</v>
      </c>
      <c r="P5"/>
    </row>
    <row r="6" spans="1:16" ht="17" thickBot="1" x14ac:dyDescent="0.25">
      <c r="A6" s="1214"/>
      <c r="B6" s="348"/>
      <c r="C6" s="521"/>
      <c r="D6" s="521"/>
      <c r="E6" s="521"/>
      <c r="F6" s="521"/>
      <c r="G6" s="123" t="s">
        <v>56</v>
      </c>
      <c r="H6" s="123" t="s">
        <v>57</v>
      </c>
      <c r="I6" s="123" t="s">
        <v>58</v>
      </c>
      <c r="J6" s="123" t="s">
        <v>59</v>
      </c>
      <c r="K6" s="123" t="s">
        <v>60</v>
      </c>
      <c r="L6" s="123" t="s">
        <v>61</v>
      </c>
      <c r="M6" s="389" t="s">
        <v>62</v>
      </c>
      <c r="N6" s="990" t="s">
        <v>25</v>
      </c>
      <c r="O6" s="991" t="s">
        <v>26</v>
      </c>
    </row>
    <row r="7" spans="1:16" ht="17" thickBot="1" x14ac:dyDescent="0.25">
      <c r="A7" s="1214"/>
      <c r="C7" s="16"/>
      <c r="D7" s="16"/>
      <c r="E7" s="16"/>
      <c r="F7" s="16"/>
      <c r="G7" s="553"/>
      <c r="H7" s="553"/>
      <c r="I7" s="123"/>
      <c r="J7" s="123"/>
      <c r="K7" s="123"/>
      <c r="L7" s="123"/>
      <c r="M7" s="389"/>
      <c r="N7" s="123"/>
    </row>
    <row r="8" spans="1:16" ht="21" thickBot="1" x14ac:dyDescent="0.25">
      <c r="A8" s="1214"/>
      <c r="B8" s="1262" t="s">
        <v>139</v>
      </c>
      <c r="C8" s="1263"/>
      <c r="D8" s="1263"/>
      <c r="E8" s="1263"/>
      <c r="F8" s="1263"/>
      <c r="G8" s="1263"/>
      <c r="H8" s="1263"/>
      <c r="I8" s="1263"/>
      <c r="J8" s="1263"/>
      <c r="K8" s="1263"/>
      <c r="L8" s="1263"/>
      <c r="M8" s="1264"/>
      <c r="N8" s="123"/>
    </row>
    <row r="9" spans="1:16" ht="19" thickBot="1" x14ac:dyDescent="0.25">
      <c r="A9" s="1214"/>
      <c r="B9" s="1313" t="s">
        <v>299</v>
      </c>
      <c r="C9" s="1314"/>
      <c r="D9" s="1314"/>
      <c r="E9" s="1314"/>
      <c r="F9" s="1314"/>
      <c r="G9" s="1314"/>
      <c r="H9" s="1314"/>
      <c r="I9" s="1314"/>
      <c r="J9" s="1314"/>
      <c r="K9" s="1314"/>
      <c r="L9" s="1314"/>
      <c r="M9" s="1315"/>
      <c r="N9" s="123"/>
    </row>
    <row r="10" spans="1:16" ht="16" x14ac:dyDescent="0.2">
      <c r="A10" s="1214"/>
      <c r="C10" s="16"/>
      <c r="D10" s="16"/>
      <c r="E10" s="16"/>
      <c r="F10" s="16"/>
      <c r="G10" s="123"/>
      <c r="H10" s="123"/>
      <c r="I10" s="123"/>
      <c r="J10" s="123"/>
      <c r="K10" s="123"/>
      <c r="L10" s="123"/>
      <c r="M10" s="389"/>
      <c r="N10" s="123"/>
    </row>
    <row r="11" spans="1:16" ht="16" outlineLevel="1" x14ac:dyDescent="0.2">
      <c r="A11" s="1214"/>
      <c r="B11" s="5" t="s">
        <v>139</v>
      </c>
      <c r="C11" s="6"/>
      <c r="D11" s="6"/>
      <c r="N11" s="123"/>
    </row>
    <row r="12" spans="1:16" ht="13.5" customHeight="1" outlineLevel="1" x14ac:dyDescent="0.2">
      <c r="A12" s="1214"/>
      <c r="B12" s="8" t="s">
        <v>300</v>
      </c>
      <c r="C12" s="68"/>
      <c r="D12" s="68"/>
      <c r="E12" s="68"/>
      <c r="F12" s="68"/>
      <c r="G12" s="332">
        <v>1</v>
      </c>
      <c r="H12" s="332">
        <v>1</v>
      </c>
      <c r="I12" s="332">
        <v>1</v>
      </c>
      <c r="J12" s="332">
        <f>1</f>
        <v>1</v>
      </c>
      <c r="K12" s="332">
        <f>1</f>
        <v>1</v>
      </c>
      <c r="L12" s="332">
        <f>1</f>
        <v>1</v>
      </c>
      <c r="M12" s="332">
        <f>1</f>
        <v>1</v>
      </c>
      <c r="N12" s="123"/>
    </row>
    <row r="13" spans="1:16" ht="13.5" customHeight="1" outlineLevel="1" x14ac:dyDescent="0.2">
      <c r="A13" s="1214"/>
      <c r="B13" s="8" t="s">
        <v>301</v>
      </c>
      <c r="C13" s="68"/>
      <c r="D13" s="68"/>
      <c r="E13" s="68"/>
      <c r="F13" s="79" t="str">
        <f>IF(SUM('Battery Design'!G12:M12)&gt;7,"Must select if packs&gt;1"," ")</f>
        <v xml:space="preserve"> </v>
      </c>
      <c r="G13" s="194"/>
      <c r="H13" s="194"/>
      <c r="I13" s="194"/>
      <c r="J13" s="194"/>
      <c r="K13" s="194"/>
      <c r="L13" s="194"/>
      <c r="M13" s="194"/>
      <c r="N13" s="123"/>
    </row>
    <row r="14" spans="1:16" ht="13.5" customHeight="1" outlineLevel="1" x14ac:dyDescent="0.2">
      <c r="A14" s="1214"/>
      <c r="B14" s="8" t="s">
        <v>302</v>
      </c>
      <c r="G14" s="46">
        <f>G22*'Battery Design'!G12</f>
        <v>300</v>
      </c>
      <c r="H14" s="46">
        <f>H22*'Battery Design'!H12</f>
        <v>300</v>
      </c>
      <c r="I14" s="46">
        <f>I22*'Battery Design'!I12</f>
        <v>300</v>
      </c>
      <c r="J14" s="46">
        <f>J22*'Battery Design'!J12</f>
        <v>300</v>
      </c>
      <c r="K14" s="46">
        <f>K22*'Battery Design'!K12</f>
        <v>300</v>
      </c>
      <c r="L14" s="46">
        <f>L22*'Battery Design'!L12</f>
        <v>300</v>
      </c>
      <c r="M14" s="46">
        <f>M22*'Battery Design'!M12</f>
        <v>300</v>
      </c>
      <c r="N14" s="123"/>
    </row>
    <row r="15" spans="1:16" ht="13.5" customHeight="1" outlineLevel="1" x14ac:dyDescent="0.2">
      <c r="A15" s="1214"/>
      <c r="B15" s="8" t="s">
        <v>303</v>
      </c>
      <c r="G15" s="46">
        <f>G12*G24</f>
        <v>100</v>
      </c>
      <c r="H15" s="46">
        <f t="shared" ref="H15:M15" si="0">H12*H24</f>
        <v>100</v>
      </c>
      <c r="I15" s="46">
        <f t="shared" si="0"/>
        <v>100</v>
      </c>
      <c r="J15" s="46">
        <f t="shared" si="0"/>
        <v>100</v>
      </c>
      <c r="K15" s="46">
        <f t="shared" si="0"/>
        <v>100</v>
      </c>
      <c r="L15" s="46">
        <f t="shared" si="0"/>
        <v>100</v>
      </c>
      <c r="M15" s="46">
        <f t="shared" si="0"/>
        <v>100</v>
      </c>
      <c r="N15" s="123"/>
    </row>
    <row r="16" spans="1:16" ht="13.5" customHeight="1" outlineLevel="1" x14ac:dyDescent="0.2">
      <c r="A16" s="1214"/>
      <c r="B16" s="8" t="s">
        <v>143</v>
      </c>
      <c r="G16" s="66">
        <f ca="1">G366*IF('Battery Design'!G13="S",'Battery Design'!G12,1)</f>
        <v>370.46640670027602</v>
      </c>
      <c r="H16" s="66">
        <f ca="1">H366*IF('Battery Design'!H13="S",'Battery Design'!H12,1)</f>
        <v>370.46640670027602</v>
      </c>
      <c r="I16" s="66">
        <f ca="1">I366*IF('Battery Design'!I13="S",'Battery Design'!I12,1)</f>
        <v>370.46640670027602</v>
      </c>
      <c r="J16" s="66">
        <f ca="1">J366*IF('Battery Design'!J13="S",'Battery Design'!J12,1)</f>
        <v>370.46640670027602</v>
      </c>
      <c r="K16" s="66">
        <f ca="1">K366*IF('Battery Design'!K13="S",'Battery Design'!K12,1)</f>
        <v>370.46640670027602</v>
      </c>
      <c r="L16" s="66">
        <f ca="1">L366*IF('Battery Design'!L13="S",'Battery Design'!L12,1)</f>
        <v>370.46640670027602</v>
      </c>
      <c r="M16" s="66">
        <f ca="1">M366*IF(M13="S", M12,1)</f>
        <v>370.46640670027602</v>
      </c>
      <c r="N16" s="123"/>
    </row>
    <row r="17" spans="1:14" ht="13.5" customHeight="1" outlineLevel="1" x14ac:dyDescent="0.2">
      <c r="A17" s="1214"/>
      <c r="B17" s="8" t="s">
        <v>144</v>
      </c>
      <c r="G17" s="66">
        <f ca="1">G365*IF('Battery Design'!G13="S",'Battery Design'!G12,1)</f>
        <v>367.97329287237056</v>
      </c>
      <c r="H17" s="66">
        <f ca="1">H365*IF('Battery Design'!H13="S",'Battery Design'!H12,1)</f>
        <v>367.97329287237056</v>
      </c>
      <c r="I17" s="66">
        <f ca="1">I365*IF('Battery Design'!I13="S",'Battery Design'!I12,1)</f>
        <v>367.97329287237056</v>
      </c>
      <c r="J17" s="66">
        <f ca="1">J365*IF('Battery Design'!J13="S",'Battery Design'!J12,1)</f>
        <v>367.97329287237056</v>
      </c>
      <c r="K17" s="66">
        <f ca="1">K365*IF('Battery Design'!K13="S",'Battery Design'!K12,1)</f>
        <v>367.97329287237056</v>
      </c>
      <c r="L17" s="66">
        <f ca="1">L365*IF('Battery Design'!L13="S",'Battery Design'!L12,1)</f>
        <v>367.97329287237056</v>
      </c>
      <c r="M17" s="66">
        <f ca="1">M365*IF('Battery Design'!M13="S",'Battery Design'!M12,1)</f>
        <v>367.97329287237056</v>
      </c>
      <c r="N17" s="123"/>
    </row>
    <row r="18" spans="1:14" ht="13.5" customHeight="1" outlineLevel="1" x14ac:dyDescent="0.2">
      <c r="A18" s="1214"/>
      <c r="C18" s="16"/>
      <c r="D18" s="16"/>
      <c r="E18" s="16"/>
      <c r="F18" s="16"/>
      <c r="G18" s="123"/>
      <c r="H18" s="123"/>
      <c r="I18" s="123"/>
      <c r="J18" s="123"/>
      <c r="K18" s="123"/>
      <c r="L18" s="123"/>
      <c r="M18" s="389"/>
      <c r="N18" s="123"/>
    </row>
    <row r="19" spans="1:14" ht="16" outlineLevel="1" x14ac:dyDescent="0.2">
      <c r="A19" s="1214"/>
      <c r="B19" s="5" t="s">
        <v>304</v>
      </c>
      <c r="G19" s="66"/>
      <c r="H19" s="66"/>
      <c r="I19" s="66"/>
      <c r="J19" s="66"/>
      <c r="K19" s="66"/>
      <c r="L19" s="66"/>
      <c r="M19" s="66"/>
      <c r="N19" s="123"/>
    </row>
    <row r="20" spans="1:14" ht="13.5" customHeight="1" outlineLevel="1" x14ac:dyDescent="0.2">
      <c r="A20" s="1214"/>
      <c r="B20" s="8" t="s">
        <v>305</v>
      </c>
      <c r="C20" s="6"/>
      <c r="D20" s="6"/>
      <c r="G20" s="331" t="str">
        <f>Dashboard!$E34</f>
        <v>EV</v>
      </c>
      <c r="H20" s="331" t="str">
        <f>Dashboard!$E34</f>
        <v>EV</v>
      </c>
      <c r="I20" s="331" t="str">
        <f>Dashboard!$E34</f>
        <v>EV</v>
      </c>
      <c r="J20" s="331" t="str">
        <f>Dashboard!$E34</f>
        <v>EV</v>
      </c>
      <c r="K20" s="331" t="str">
        <f>Dashboard!$E34</f>
        <v>EV</v>
      </c>
      <c r="L20" s="331" t="str">
        <f>Dashboard!$E34</f>
        <v>EV</v>
      </c>
      <c r="M20" s="331" t="str">
        <f>Dashboard!$E34</f>
        <v>EV</v>
      </c>
      <c r="N20" s="123"/>
    </row>
    <row r="21" spans="1:14" ht="13.5" customHeight="1" outlineLevel="1" x14ac:dyDescent="0.2">
      <c r="A21" s="1214"/>
      <c r="B21" s="9" t="s">
        <v>306</v>
      </c>
      <c r="G21" s="175">
        <f>Dashboard!D44</f>
        <v>10</v>
      </c>
      <c r="H21" s="468">
        <f>Dashboard!E44</f>
        <v>10</v>
      </c>
      <c r="I21" s="468">
        <f>Dashboard!F44</f>
        <v>10</v>
      </c>
      <c r="J21" s="468">
        <f>Dashboard!G44</f>
        <v>10</v>
      </c>
      <c r="K21" s="468">
        <f>Dashboard!H44</f>
        <v>10</v>
      </c>
      <c r="L21" s="468">
        <f>Dashboard!I44</f>
        <v>10</v>
      </c>
      <c r="M21" s="468">
        <f>Dashboard!J44</f>
        <v>10</v>
      </c>
      <c r="N21" s="123"/>
    </row>
    <row r="22" spans="1:14" ht="13.5" customHeight="1" outlineLevel="1" x14ac:dyDescent="0.2">
      <c r="A22" s="1214"/>
      <c r="B22" s="8" t="s">
        <v>307</v>
      </c>
      <c r="F22" s="89"/>
      <c r="G22" s="175">
        <f>Dashboard!D40</f>
        <v>300</v>
      </c>
      <c r="H22" s="175">
        <f>Dashboard!E40</f>
        <v>300</v>
      </c>
      <c r="I22" s="175">
        <f>Dashboard!F40</f>
        <v>300</v>
      </c>
      <c r="J22" s="175">
        <f>Dashboard!G40</f>
        <v>300</v>
      </c>
      <c r="K22" s="175">
        <f>Dashboard!H40</f>
        <v>300</v>
      </c>
      <c r="L22" s="175">
        <f>Dashboard!I40</f>
        <v>300</v>
      </c>
      <c r="M22" s="175">
        <f>Dashboard!J40</f>
        <v>300</v>
      </c>
      <c r="N22" s="123"/>
    </row>
    <row r="23" spans="1:14" ht="13.5" customHeight="1" outlineLevel="1" x14ac:dyDescent="0.2">
      <c r="A23" s="1214"/>
      <c r="B23" s="8" t="s">
        <v>308</v>
      </c>
      <c r="G23" s="11">
        <f ca="1">'Battery Design'!G367*IF('Battery Design'!G13="S",'Battery Design'!G12,1)</f>
        <v>843.41745426155444</v>
      </c>
      <c r="H23" s="11">
        <f ca="1">'Battery Design'!H367*IF('Battery Design'!H13="S",'Battery Design'!H12,1)</f>
        <v>843.41745426155444</v>
      </c>
      <c r="I23" s="11">
        <f ca="1">'Battery Design'!I367*IF('Battery Design'!I13="S",'Battery Design'!I12,1)</f>
        <v>843.41745426155444</v>
      </c>
      <c r="J23" s="11">
        <f ca="1">'Battery Design'!J367*IF('Battery Design'!J13="S",'Battery Design'!J12,1)</f>
        <v>843.41745426155444</v>
      </c>
      <c r="K23" s="11">
        <f ca="1">'Battery Design'!K367*IF('Battery Design'!K13="S",'Battery Design'!K12,1)</f>
        <v>843.41745426155444</v>
      </c>
      <c r="L23" s="11">
        <f ca="1">'Battery Design'!L367*IF('Battery Design'!L13="S",'Battery Design'!L12,1)</f>
        <v>843.41745426155444</v>
      </c>
      <c r="M23" s="11">
        <f ca="1">'Battery Design'!M367*IF('Battery Design'!M13="S",'Battery Design'!M12,1)</f>
        <v>843.41745426155444</v>
      </c>
      <c r="N23" s="123"/>
    </row>
    <row r="24" spans="1:14" ht="13.5" customHeight="1" outlineLevel="1" x14ac:dyDescent="0.2">
      <c r="A24" s="1214"/>
      <c r="B24" s="8" t="s">
        <v>309</v>
      </c>
      <c r="G24" s="174">
        <f>IF(Dashboard!D54 &gt; 0, Dashboard!D54, G477*G155*G12)</f>
        <v>100</v>
      </c>
      <c r="H24" s="174">
        <f>IF(Dashboard!E54 &gt; 0, Dashboard!E54, H477*H155*H12)</f>
        <v>100</v>
      </c>
      <c r="I24" s="174">
        <f>IF(Dashboard!F54 &gt; 0, Dashboard!F54, I477*I155*I12)</f>
        <v>100</v>
      </c>
      <c r="J24" s="174">
        <f>IF(Dashboard!G54 &gt; 0, Dashboard!G54, J477*J155*J12)</f>
        <v>100</v>
      </c>
      <c r="K24" s="174">
        <f>IF(Dashboard!H54 &gt; 0, Dashboard!H54, K477*K155*K12)</f>
        <v>100</v>
      </c>
      <c r="L24" s="174">
        <f>IF(Dashboard!I54 &gt; 0, Dashboard!I54, L477*L155*L12)</f>
        <v>100</v>
      </c>
      <c r="M24" s="174">
        <f>IF(Dashboard!J54 &gt; 0, Dashboard!J54, M477*M155*M12)</f>
        <v>100</v>
      </c>
      <c r="N24" s="123"/>
    </row>
    <row r="25" spans="1:14" ht="13.5" customHeight="1" outlineLevel="1" x14ac:dyDescent="0.2">
      <c r="A25" s="1214"/>
      <c r="B25" s="8" t="s">
        <v>82</v>
      </c>
      <c r="G25" s="175">
        <f>Dashboard!D74</f>
        <v>20</v>
      </c>
      <c r="H25" s="175">
        <f>Dashboard!E74</f>
        <v>20</v>
      </c>
      <c r="I25" s="175">
        <f>Dashboard!F74</f>
        <v>20</v>
      </c>
      <c r="J25" s="175">
        <f>Dashboard!G74</f>
        <v>20</v>
      </c>
      <c r="K25" s="175">
        <f>Dashboard!H74</f>
        <v>20</v>
      </c>
      <c r="L25" s="175">
        <f>Dashboard!I74</f>
        <v>20</v>
      </c>
      <c r="M25" s="175">
        <f>Dashboard!J74</f>
        <v>20</v>
      </c>
      <c r="N25" s="123"/>
    </row>
    <row r="26" spans="1:14" ht="13.5" customHeight="1" outlineLevel="1" x14ac:dyDescent="0.2">
      <c r="A26" s="1214"/>
      <c r="B26" s="8" t="s">
        <v>83</v>
      </c>
      <c r="G26" s="175">
        <f>Dashboard!D75</f>
        <v>2</v>
      </c>
      <c r="H26" s="175">
        <f>Dashboard!E75</f>
        <v>2</v>
      </c>
      <c r="I26" s="175">
        <f>Dashboard!F75</f>
        <v>2</v>
      </c>
      <c r="J26" s="175">
        <f>Dashboard!G75</f>
        <v>2</v>
      </c>
      <c r="K26" s="175">
        <f>Dashboard!H75</f>
        <v>2</v>
      </c>
      <c r="L26" s="175">
        <f>Dashboard!I75</f>
        <v>2</v>
      </c>
      <c r="M26" s="175">
        <f>Dashboard!J75</f>
        <v>2</v>
      </c>
      <c r="N26" s="123"/>
    </row>
    <row r="27" spans="1:14" ht="13.5" customHeight="1" outlineLevel="1" x14ac:dyDescent="0.2">
      <c r="A27" s="1214"/>
      <c r="B27" s="8" t="s">
        <v>84</v>
      </c>
      <c r="G27" s="175">
        <f>Dashboard!D76</f>
        <v>5</v>
      </c>
      <c r="H27" s="175">
        <f>Dashboard!E76</f>
        <v>5</v>
      </c>
      <c r="I27" s="175">
        <f>Dashboard!F76</f>
        <v>5</v>
      </c>
      <c r="J27" s="175">
        <f>Dashboard!G76</f>
        <v>5</v>
      </c>
      <c r="K27" s="175">
        <f>Dashboard!H76</f>
        <v>5</v>
      </c>
      <c r="L27" s="175">
        <f>Dashboard!I76</f>
        <v>5</v>
      </c>
      <c r="M27" s="175">
        <f>Dashboard!J76</f>
        <v>5</v>
      </c>
      <c r="N27" s="123"/>
    </row>
    <row r="28" spans="1:14" ht="13.5" customHeight="1" outlineLevel="1" x14ac:dyDescent="0.2">
      <c r="A28" s="1214"/>
      <c r="B28" s="8" t="s">
        <v>85</v>
      </c>
      <c r="G28" s="175">
        <f>Dashboard!D77</f>
        <v>4</v>
      </c>
      <c r="H28" s="175">
        <f>Dashboard!E77</f>
        <v>4</v>
      </c>
      <c r="I28" s="175">
        <f>Dashboard!F77</f>
        <v>4</v>
      </c>
      <c r="J28" s="175">
        <f>Dashboard!G77</f>
        <v>4</v>
      </c>
      <c r="K28" s="175">
        <f>Dashboard!H77</f>
        <v>4</v>
      </c>
      <c r="L28" s="175">
        <f>Dashboard!I77</f>
        <v>4</v>
      </c>
      <c r="M28" s="175">
        <f>Dashboard!J77</f>
        <v>4</v>
      </c>
      <c r="N28" s="123"/>
    </row>
    <row r="29" spans="1:14" ht="13.5" customHeight="1" outlineLevel="1" x14ac:dyDescent="0.2">
      <c r="A29" s="1214"/>
      <c r="B29" s="8" t="s">
        <v>165</v>
      </c>
      <c r="G29" s="11">
        <f t="shared" ref="G29:M29" si="1">G27*G28</f>
        <v>20</v>
      </c>
      <c r="H29" s="11">
        <f t="shared" si="1"/>
        <v>20</v>
      </c>
      <c r="I29" s="11">
        <f t="shared" si="1"/>
        <v>20</v>
      </c>
      <c r="J29" s="11">
        <f t="shared" si="1"/>
        <v>20</v>
      </c>
      <c r="K29" s="11">
        <f t="shared" si="1"/>
        <v>20</v>
      </c>
      <c r="L29" s="11">
        <f t="shared" si="1"/>
        <v>20</v>
      </c>
      <c r="M29" s="11">
        <f t="shared" si="1"/>
        <v>20</v>
      </c>
      <c r="N29" s="123"/>
    </row>
    <row r="30" spans="1:14" ht="13.5" customHeight="1" outlineLevel="1" x14ac:dyDescent="0.2">
      <c r="A30" s="1214"/>
      <c r="B30" s="8" t="s">
        <v>86</v>
      </c>
      <c r="G30" s="175">
        <f>Dashboard!D78</f>
        <v>2</v>
      </c>
      <c r="H30" s="175">
        <f>Dashboard!E78</f>
        <v>2</v>
      </c>
      <c r="I30" s="175">
        <f>Dashboard!F78</f>
        <v>2</v>
      </c>
      <c r="J30" s="175">
        <f>Dashboard!G78</f>
        <v>2</v>
      </c>
      <c r="K30" s="175">
        <f>Dashboard!H78</f>
        <v>2</v>
      </c>
      <c r="L30" s="175">
        <f>Dashboard!I78</f>
        <v>2</v>
      </c>
      <c r="M30" s="175">
        <f>Dashboard!J78</f>
        <v>2</v>
      </c>
      <c r="N30" s="123"/>
    </row>
    <row r="31" spans="1:14" ht="13.5" customHeight="1" outlineLevel="1" x14ac:dyDescent="0.2">
      <c r="A31" s="1214"/>
      <c r="B31" s="8" t="s">
        <v>310</v>
      </c>
      <c r="G31" s="46">
        <f t="shared" ref="G31:M31" si="2">G29*G25</f>
        <v>400</v>
      </c>
      <c r="H31" s="46">
        <f t="shared" si="2"/>
        <v>400</v>
      </c>
      <c r="I31" s="46">
        <f t="shared" si="2"/>
        <v>400</v>
      </c>
      <c r="J31" s="46">
        <f t="shared" si="2"/>
        <v>400</v>
      </c>
      <c r="K31" s="46">
        <f t="shared" si="2"/>
        <v>400</v>
      </c>
      <c r="L31" s="46">
        <f t="shared" si="2"/>
        <v>400</v>
      </c>
      <c r="M31" s="46">
        <f t="shared" si="2"/>
        <v>400</v>
      </c>
      <c r="N31" s="123"/>
    </row>
    <row r="32" spans="1:14" ht="13.5" customHeight="1" outlineLevel="1" x14ac:dyDescent="0.2">
      <c r="A32" s="1214"/>
      <c r="B32" s="8" t="s">
        <v>311</v>
      </c>
      <c r="G32" s="46">
        <f t="shared" ref="G32:M32" si="3">G31*G12</f>
        <v>400</v>
      </c>
      <c r="H32" s="46">
        <f t="shared" si="3"/>
        <v>400</v>
      </c>
      <c r="I32" s="46">
        <f t="shared" si="3"/>
        <v>400</v>
      </c>
      <c r="J32" s="46">
        <f t="shared" si="3"/>
        <v>400</v>
      </c>
      <c r="K32" s="46">
        <f t="shared" si="3"/>
        <v>400</v>
      </c>
      <c r="L32" s="46">
        <f t="shared" si="3"/>
        <v>400</v>
      </c>
      <c r="M32" s="46">
        <f t="shared" si="3"/>
        <v>400</v>
      </c>
      <c r="N32" s="123"/>
    </row>
    <row r="33" spans="1:22" ht="13.5" customHeight="1" outlineLevel="1" x14ac:dyDescent="0.2">
      <c r="A33" s="1214"/>
      <c r="G33" s="46"/>
      <c r="H33" s="46"/>
      <c r="I33" s="46"/>
      <c r="J33" s="46"/>
      <c r="K33" s="46"/>
      <c r="L33" s="46"/>
      <c r="M33" s="46"/>
      <c r="N33" s="123"/>
    </row>
    <row r="34" spans="1:22" ht="16" outlineLevel="1" x14ac:dyDescent="0.2">
      <c r="A34" s="1214"/>
      <c r="B34" s="5" t="s">
        <v>312</v>
      </c>
      <c r="E34" s="68"/>
      <c r="F34" s="79" t="str">
        <f>IF(OR(Dashboard!D52="x",Dashboard!E52="x",Dashboard!F52="x",Dashboard!G52="x",Dashboard!H52="x",Dashboard!I52="x",Dashboard!J52="x"),"Inadequate capacity if X"," ")</f>
        <v xml:space="preserve"> </v>
      </c>
      <c r="G34" s="46" t="str">
        <f ca="1">IF(OR(MIN(G282,G283)&lt;Chem!$C28),"X","Ok")</f>
        <v>Ok</v>
      </c>
      <c r="H34" s="46" t="str">
        <f ca="1">IF(OR(MIN(H282,H283)&lt;Chem!$C28),"X","Ok")</f>
        <v>Ok</v>
      </c>
      <c r="I34" s="46" t="str">
        <f ca="1">IF(OR(MIN(I282,I283)&lt;Chem!$C28),"X","Ok")</f>
        <v>Ok</v>
      </c>
      <c r="J34" s="46" t="str">
        <f ca="1">IF(OR(MIN(J282,J283)&lt;Chem!$C28),"X","Ok")</f>
        <v>Ok</v>
      </c>
      <c r="K34" s="46" t="str">
        <f ca="1">IF(OR(MIN(K282,K283)&lt;Chem!$C28),"X","Ok")</f>
        <v>Ok</v>
      </c>
      <c r="L34" s="46" t="str">
        <f ca="1">IF(OR(MIN(L282,L283)&lt;Chem!$C28),"X","Ok")</f>
        <v>Ok</v>
      </c>
      <c r="M34" s="46" t="str">
        <f ca="1">IF(OR(MIN(M282,M283)&lt;Chem!$C28),"X","Ok")</f>
        <v>Ok</v>
      </c>
      <c r="N34" s="123"/>
    </row>
    <row r="35" spans="1:22" ht="13.5" customHeight="1" outlineLevel="1" x14ac:dyDescent="0.2">
      <c r="A35" s="1214"/>
      <c r="B35" s="8" t="s">
        <v>121</v>
      </c>
      <c r="D35" s="156"/>
      <c r="G35" s="66">
        <f t="shared" ref="G35:M35" ca="1" si="4">G36/G26</f>
        <v>67.939713246199872</v>
      </c>
      <c r="H35" s="66">
        <f t="shared" ca="1" si="4"/>
        <v>67.939713246199872</v>
      </c>
      <c r="I35" s="66">
        <f t="shared" ca="1" si="4"/>
        <v>67.939713246199872</v>
      </c>
      <c r="J35" s="66">
        <f t="shared" ca="1" si="4"/>
        <v>67.939713246199872</v>
      </c>
      <c r="K35" s="66">
        <f t="shared" ca="1" si="4"/>
        <v>67.939713246199872</v>
      </c>
      <c r="L35" s="66">
        <f t="shared" ca="1" si="4"/>
        <v>67.939713246199872</v>
      </c>
      <c r="M35" s="66">
        <f t="shared" ca="1" si="4"/>
        <v>67.939713246199872</v>
      </c>
      <c r="N35" s="123"/>
    </row>
    <row r="36" spans="1:22" ht="13.5" customHeight="1" outlineLevel="1" x14ac:dyDescent="0.2">
      <c r="A36" s="1214"/>
      <c r="B36" s="8" t="s">
        <v>313</v>
      </c>
      <c r="D36" s="156"/>
      <c r="G36" s="66">
        <f t="shared" ref="G36:M36" ca="1" si="5">G478/G30</f>
        <v>135.87942649237613</v>
      </c>
      <c r="H36" s="66">
        <f t="shared" ca="1" si="5"/>
        <v>135.87942649237613</v>
      </c>
      <c r="I36" s="66">
        <f t="shared" ca="1" si="5"/>
        <v>135.87942649237613</v>
      </c>
      <c r="J36" s="66">
        <f t="shared" ca="1" si="5"/>
        <v>135.87942649237613</v>
      </c>
      <c r="K36" s="66">
        <f t="shared" ca="1" si="5"/>
        <v>135.87942649237613</v>
      </c>
      <c r="L36" s="66">
        <f t="shared" ca="1" si="5"/>
        <v>135.87942649237613</v>
      </c>
      <c r="M36" s="66">
        <f t="shared" ca="1" si="5"/>
        <v>135.87942649237613</v>
      </c>
      <c r="N36" s="123"/>
    </row>
    <row r="37" spans="1:22" ht="13.5" customHeight="1" outlineLevel="1" x14ac:dyDescent="0.2">
      <c r="A37" s="1214"/>
      <c r="B37" s="8" t="s">
        <v>168</v>
      </c>
      <c r="D37" s="156"/>
      <c r="G37" s="66">
        <f t="shared" ref="G37:M37" ca="1" si="6">G35*G26*G30</f>
        <v>271.75885298479949</v>
      </c>
      <c r="H37" s="66">
        <f t="shared" ca="1" si="6"/>
        <v>271.75885298479949</v>
      </c>
      <c r="I37" s="66">
        <f t="shared" ca="1" si="6"/>
        <v>271.75885298479949</v>
      </c>
      <c r="J37" s="66">
        <f t="shared" ca="1" si="6"/>
        <v>271.75885298479949</v>
      </c>
      <c r="K37" s="66">
        <f t="shared" ca="1" si="6"/>
        <v>271.75885298479949</v>
      </c>
      <c r="L37" s="66">
        <f t="shared" ca="1" si="6"/>
        <v>271.75885298479949</v>
      </c>
      <c r="M37" s="66">
        <f t="shared" ca="1" si="6"/>
        <v>271.75885298479949</v>
      </c>
      <c r="N37" s="123"/>
    </row>
    <row r="38" spans="1:22" ht="13.5" customHeight="1" outlineLevel="1" x14ac:dyDescent="0.2">
      <c r="A38" s="1214"/>
      <c r="B38" s="8" t="s">
        <v>145</v>
      </c>
      <c r="D38" s="156"/>
      <c r="G38" s="3">
        <f t="shared" ref="G38:M38" ca="1" si="7">IF(G13="P",G12*G37,G37)</f>
        <v>271.75885298479949</v>
      </c>
      <c r="H38" s="66">
        <f t="shared" ca="1" si="7"/>
        <v>271.75885298479949</v>
      </c>
      <c r="I38" s="66">
        <f t="shared" ca="1" si="7"/>
        <v>271.75885298479949</v>
      </c>
      <c r="J38" s="66">
        <f t="shared" ca="1" si="7"/>
        <v>271.75885298479949</v>
      </c>
      <c r="K38" s="66">
        <f t="shared" ca="1" si="7"/>
        <v>271.75885298479949</v>
      </c>
      <c r="L38" s="66">
        <f t="shared" ca="1" si="7"/>
        <v>271.75885298479949</v>
      </c>
      <c r="M38" s="66">
        <f t="shared" ca="1" si="7"/>
        <v>271.75885298479949</v>
      </c>
      <c r="N38" s="123"/>
    </row>
    <row r="39" spans="1:22" ht="17" thickBot="1" x14ac:dyDescent="0.25">
      <c r="A39" s="1214"/>
      <c r="C39" s="16"/>
      <c r="D39" s="16"/>
      <c r="E39" s="16"/>
      <c r="F39" s="16"/>
      <c r="G39" s="123"/>
      <c r="H39" s="123"/>
      <c r="I39" s="123"/>
      <c r="J39" s="123"/>
      <c r="K39" s="123"/>
      <c r="L39" s="123"/>
      <c r="M39" s="389"/>
      <c r="N39" s="123"/>
    </row>
    <row r="40" spans="1:22" ht="21" thickBot="1" x14ac:dyDescent="0.25">
      <c r="A40" s="1214"/>
      <c r="B40" s="1262" t="s">
        <v>314</v>
      </c>
      <c r="C40" s="1263"/>
      <c r="D40" s="1263"/>
      <c r="E40" s="1263"/>
      <c r="F40" s="1263"/>
      <c r="G40" s="1263"/>
      <c r="H40" s="1263"/>
      <c r="I40" s="1263"/>
      <c r="J40" s="1263"/>
      <c r="K40" s="1263"/>
      <c r="L40" s="1263"/>
      <c r="M40" s="1264"/>
      <c r="N40" s="123"/>
    </row>
    <row r="41" spans="1:22" ht="19" thickBot="1" x14ac:dyDescent="0.25">
      <c r="A41" s="1214"/>
      <c r="B41" s="1313" t="s">
        <v>315</v>
      </c>
      <c r="C41" s="1314"/>
      <c r="D41" s="1314"/>
      <c r="E41" s="1314"/>
      <c r="F41" s="1314"/>
      <c r="G41" s="1314"/>
      <c r="H41" s="1314"/>
      <c r="I41" s="1314"/>
      <c r="J41" s="1314"/>
      <c r="K41" s="1314"/>
      <c r="L41" s="1314"/>
      <c r="M41" s="1315"/>
      <c r="N41" s="123"/>
    </row>
    <row r="42" spans="1:22" ht="16" x14ac:dyDescent="0.2">
      <c r="A42" s="1214"/>
      <c r="C42" s="16"/>
      <c r="D42" s="16"/>
      <c r="E42" s="16"/>
      <c r="F42" s="16"/>
      <c r="G42" s="123"/>
      <c r="H42" s="123"/>
      <c r="I42" s="123"/>
      <c r="J42" s="123"/>
      <c r="K42" s="123"/>
      <c r="L42" s="123"/>
      <c r="M42" s="389"/>
      <c r="N42" s="123"/>
    </row>
    <row r="43" spans="1:22" ht="16" outlineLevel="1" x14ac:dyDescent="0.2">
      <c r="A43" s="1214"/>
      <c r="B43" s="5" t="s">
        <v>316</v>
      </c>
      <c r="C43" s="9"/>
      <c r="D43" s="9"/>
      <c r="E43" s="133" t="s">
        <v>317</v>
      </c>
      <c r="F43" s="46" t="s">
        <v>318</v>
      </c>
      <c r="Q43" s="46"/>
      <c r="R43" s="46"/>
      <c r="S43" s="46"/>
      <c r="T43" s="46"/>
      <c r="U43" s="46"/>
    </row>
    <row r="44" spans="1:22" outlineLevel="1" x14ac:dyDescent="0.15">
      <c r="A44" s="1214"/>
      <c r="B44" s="23" t="s">
        <v>319</v>
      </c>
      <c r="C44" s="4"/>
      <c r="D44" s="4"/>
      <c r="E44" s="173">
        <f>Chem!C11</f>
        <v>94</v>
      </c>
      <c r="F44" s="173">
        <f>Chem!C17</f>
        <v>4.6500000000000004</v>
      </c>
      <c r="G44" s="115">
        <f t="shared" ref="G44:M44" ca="1" si="8">G35/G103*1000</f>
        <v>363.11979287119124</v>
      </c>
      <c r="H44" s="115">
        <f t="shared" ca="1" si="8"/>
        <v>363.11979287119124</v>
      </c>
      <c r="I44" s="115">
        <f t="shared" ca="1" si="8"/>
        <v>363.11979287119124</v>
      </c>
      <c r="J44" s="115">
        <f t="shared" ca="1" si="8"/>
        <v>363.11979287119124</v>
      </c>
      <c r="K44" s="115">
        <f t="shared" ca="1" si="8"/>
        <v>363.11979287119124</v>
      </c>
      <c r="L44" s="115">
        <f t="shared" ca="1" si="8"/>
        <v>363.11979287119124</v>
      </c>
      <c r="M44" s="115">
        <f t="shared" ca="1" si="8"/>
        <v>363.11979287119124</v>
      </c>
      <c r="N44" s="324"/>
      <c r="T44" s="10"/>
      <c r="U44" s="15"/>
      <c r="V44" s="15"/>
    </row>
    <row r="45" spans="1:22" outlineLevel="1" x14ac:dyDescent="0.15">
      <c r="A45" s="1214"/>
      <c r="B45" s="23" t="s">
        <v>320</v>
      </c>
      <c r="C45" s="17"/>
      <c r="E45" s="173">
        <f>Chem!C12</f>
        <v>4</v>
      </c>
      <c r="F45" s="173">
        <f>Chem!C18</f>
        <v>1.825</v>
      </c>
      <c r="G45" s="127">
        <f t="shared" ref="G45:M47" ca="1" si="9">G$48*$E45/100</f>
        <v>15.451906079630461</v>
      </c>
      <c r="H45" s="127">
        <f t="shared" ca="1" si="9"/>
        <v>15.451906079630461</v>
      </c>
      <c r="I45" s="127">
        <f t="shared" ca="1" si="9"/>
        <v>15.451906079630461</v>
      </c>
      <c r="J45" s="127">
        <f t="shared" ca="1" si="9"/>
        <v>15.451906079630461</v>
      </c>
      <c r="K45" s="127">
        <f t="shared" ca="1" si="9"/>
        <v>15.451906079630461</v>
      </c>
      <c r="L45" s="127">
        <f t="shared" ca="1" si="9"/>
        <v>15.451906079630461</v>
      </c>
      <c r="M45" s="127">
        <f t="shared" ca="1" si="9"/>
        <v>15.451906079630461</v>
      </c>
      <c r="N45" s="127"/>
      <c r="T45" s="10"/>
      <c r="U45" s="46"/>
      <c r="V45" s="15"/>
    </row>
    <row r="46" spans="1:22" outlineLevel="1" x14ac:dyDescent="0.15">
      <c r="A46" s="1214"/>
      <c r="B46" s="9" t="s">
        <v>321</v>
      </c>
      <c r="C46" s="9"/>
      <c r="D46" s="9"/>
      <c r="E46" s="173">
        <f>Chem!C13</f>
        <v>2</v>
      </c>
      <c r="F46" s="173">
        <f>Chem!C19</f>
        <v>1.77</v>
      </c>
      <c r="G46" s="127">
        <f t="shared" ca="1" si="9"/>
        <v>7.7259530398152307</v>
      </c>
      <c r="H46" s="127">
        <f t="shared" ca="1" si="9"/>
        <v>7.7259530398152307</v>
      </c>
      <c r="I46" s="127">
        <f t="shared" ca="1" si="9"/>
        <v>7.7259530398152307</v>
      </c>
      <c r="J46" s="127">
        <f t="shared" ca="1" si="9"/>
        <v>7.7259530398152307</v>
      </c>
      <c r="K46" s="127">
        <f t="shared" ca="1" si="9"/>
        <v>7.7259530398152307</v>
      </c>
      <c r="L46" s="127">
        <f t="shared" ca="1" si="9"/>
        <v>7.7259530398152307</v>
      </c>
      <c r="M46" s="127">
        <f t="shared" ca="1" si="9"/>
        <v>7.7259530398152307</v>
      </c>
      <c r="N46" s="127"/>
      <c r="T46" s="10"/>
      <c r="U46" s="46"/>
      <c r="V46" s="15"/>
    </row>
    <row r="47" spans="1:22" outlineLevel="1" x14ac:dyDescent="0.15">
      <c r="A47" s="1214"/>
      <c r="B47" s="9" t="s">
        <v>322</v>
      </c>
      <c r="C47" s="325" t="s">
        <v>323</v>
      </c>
      <c r="D47" s="326">
        <f>Chem!C23</f>
        <v>35</v>
      </c>
      <c r="E47" s="14"/>
      <c r="F47" s="14"/>
      <c r="G47" s="243">
        <f t="shared" ca="1" si="9"/>
        <v>0</v>
      </c>
      <c r="H47" s="243">
        <f t="shared" ca="1" si="9"/>
        <v>0</v>
      </c>
      <c r="I47" s="243">
        <f t="shared" ca="1" si="9"/>
        <v>0</v>
      </c>
      <c r="J47" s="243">
        <f t="shared" ca="1" si="9"/>
        <v>0</v>
      </c>
      <c r="K47" s="243">
        <f t="shared" ca="1" si="9"/>
        <v>0</v>
      </c>
      <c r="L47" s="243">
        <f t="shared" ca="1" si="9"/>
        <v>0</v>
      </c>
      <c r="M47" s="243">
        <f t="shared" ca="1" si="9"/>
        <v>0</v>
      </c>
      <c r="N47" s="127"/>
      <c r="T47" s="10"/>
      <c r="U47" s="46"/>
      <c r="V47" s="15"/>
    </row>
    <row r="48" spans="1:22" outlineLevel="1" x14ac:dyDescent="0.15">
      <c r="A48" s="1214"/>
      <c r="B48" s="9" t="s">
        <v>324</v>
      </c>
      <c r="C48" s="9"/>
      <c r="D48" s="9"/>
      <c r="E48" s="46">
        <f>SUM(E44:E47)</f>
        <v>100</v>
      </c>
      <c r="F48" s="10">
        <f>(100-D47)/(E44/F44+E45/F45+E46/F46)</f>
        <v>2.7616354182577263</v>
      </c>
      <c r="G48" s="327">
        <f t="shared" ref="G48:M48" ca="1" si="10">G44/$E44*100</f>
        <v>386.29765199062899</v>
      </c>
      <c r="H48" s="327">
        <f t="shared" ca="1" si="10"/>
        <v>386.29765199062899</v>
      </c>
      <c r="I48" s="327">
        <f t="shared" ca="1" si="10"/>
        <v>386.29765199062899</v>
      </c>
      <c r="J48" s="327">
        <f t="shared" ca="1" si="10"/>
        <v>386.29765199062899</v>
      </c>
      <c r="K48" s="327">
        <f t="shared" ca="1" si="10"/>
        <v>386.29765199062899</v>
      </c>
      <c r="L48" s="327">
        <f t="shared" ca="1" si="10"/>
        <v>386.29765199062899</v>
      </c>
      <c r="M48" s="327">
        <f t="shared" ca="1" si="10"/>
        <v>386.29765199062899</v>
      </c>
      <c r="N48" s="328"/>
      <c r="T48" s="10"/>
      <c r="U48" s="46"/>
      <c r="V48" s="15"/>
    </row>
    <row r="49" spans="1:22" outlineLevel="1" x14ac:dyDescent="0.15">
      <c r="A49" s="1214"/>
      <c r="B49" s="9"/>
      <c r="C49" s="9"/>
      <c r="D49" s="9"/>
      <c r="E49" s="46"/>
      <c r="F49" s="10"/>
      <c r="G49" s="327"/>
      <c r="H49" s="327"/>
      <c r="I49" s="327"/>
      <c r="J49" s="327"/>
      <c r="K49" s="327"/>
      <c r="L49" s="327"/>
      <c r="M49" s="327"/>
      <c r="N49" s="328"/>
      <c r="T49" s="10"/>
      <c r="U49" s="46"/>
      <c r="V49" s="15"/>
    </row>
    <row r="50" spans="1:22" ht="16" outlineLevel="1" x14ac:dyDescent="0.2">
      <c r="A50" s="1214"/>
      <c r="B50" s="463" t="s">
        <v>325</v>
      </c>
      <c r="E50" s="46" t="s">
        <v>317</v>
      </c>
      <c r="F50" s="46" t="s">
        <v>318</v>
      </c>
      <c r="G50" s="9"/>
      <c r="H50" s="9"/>
      <c r="I50" s="9"/>
      <c r="J50" s="9"/>
      <c r="K50" s="9"/>
      <c r="L50" s="9"/>
      <c r="M50" s="9"/>
      <c r="N50" s="9"/>
      <c r="T50" s="10"/>
      <c r="U50" s="15"/>
      <c r="V50" s="15"/>
    </row>
    <row r="51" spans="1:22" outlineLevel="1" x14ac:dyDescent="0.15">
      <c r="A51" s="1214"/>
      <c r="B51" s="23" t="s">
        <v>326</v>
      </c>
      <c r="E51" s="175">
        <f>Chem!C41</f>
        <v>96</v>
      </c>
      <c r="F51" s="174">
        <f>Chem!C47</f>
        <v>2.2400000000000002</v>
      </c>
      <c r="G51" s="21">
        <f t="shared" ref="G51:M51" ca="1" si="11">G35/G105*1000*G107*(1+G108/100)</f>
        <v>214.72584095776261</v>
      </c>
      <c r="H51" s="21">
        <f t="shared" ca="1" si="11"/>
        <v>214.72584095776261</v>
      </c>
      <c r="I51" s="21">
        <f t="shared" ca="1" si="11"/>
        <v>214.72584095776261</v>
      </c>
      <c r="J51" s="21">
        <f t="shared" ca="1" si="11"/>
        <v>214.72584095776261</v>
      </c>
      <c r="K51" s="21">
        <f t="shared" ca="1" si="11"/>
        <v>214.72584095776261</v>
      </c>
      <c r="L51" s="21">
        <f t="shared" ca="1" si="11"/>
        <v>214.72584095776261</v>
      </c>
      <c r="M51" s="21">
        <f t="shared" ca="1" si="11"/>
        <v>214.72584095776261</v>
      </c>
      <c r="N51" s="98"/>
    </row>
    <row r="52" spans="1:22" outlineLevel="1" x14ac:dyDescent="0.15">
      <c r="A52" s="1214"/>
      <c r="B52" s="23" t="s">
        <v>327</v>
      </c>
      <c r="E52" s="175">
        <f>Chem!C42</f>
        <v>2</v>
      </c>
      <c r="F52" s="174">
        <f>Chem!C48</f>
        <v>1.95</v>
      </c>
      <c r="G52" s="127">
        <f t="shared" ref="G52:M54" ca="1" si="12">G$55*$E52/100</f>
        <v>4.4734550199548204</v>
      </c>
      <c r="H52" s="127">
        <f t="shared" ca="1" si="12"/>
        <v>4.4734550199548204</v>
      </c>
      <c r="I52" s="127">
        <f t="shared" ca="1" si="12"/>
        <v>4.4734550199548204</v>
      </c>
      <c r="J52" s="127">
        <f t="shared" ca="1" si="12"/>
        <v>4.4734550199548204</v>
      </c>
      <c r="K52" s="127">
        <f t="shared" ca="1" si="12"/>
        <v>4.4734550199548204</v>
      </c>
      <c r="L52" s="127">
        <f t="shared" ca="1" si="12"/>
        <v>4.4734550199548204</v>
      </c>
      <c r="M52" s="127">
        <f t="shared" ca="1" si="12"/>
        <v>4.4734550199548204</v>
      </c>
      <c r="N52" s="22"/>
      <c r="T52" s="10"/>
      <c r="U52" s="15"/>
    </row>
    <row r="53" spans="1:22" outlineLevel="1" x14ac:dyDescent="0.15">
      <c r="A53" s="1214"/>
      <c r="B53" s="9" t="s">
        <v>328</v>
      </c>
      <c r="E53" s="175">
        <f>Chem!C43</f>
        <v>2</v>
      </c>
      <c r="F53" s="174">
        <f>Chem!C49</f>
        <v>1.1000000000000001</v>
      </c>
      <c r="G53" s="127">
        <f t="shared" ca="1" si="12"/>
        <v>4.4734550199548204</v>
      </c>
      <c r="H53" s="127">
        <f t="shared" ca="1" si="12"/>
        <v>4.4734550199548204</v>
      </c>
      <c r="I53" s="127">
        <f t="shared" ca="1" si="12"/>
        <v>4.4734550199548204</v>
      </c>
      <c r="J53" s="127">
        <f t="shared" ca="1" si="12"/>
        <v>4.4734550199548204</v>
      </c>
      <c r="K53" s="127">
        <f t="shared" ca="1" si="12"/>
        <v>4.4734550199548204</v>
      </c>
      <c r="L53" s="127">
        <f t="shared" ca="1" si="12"/>
        <v>4.4734550199548204</v>
      </c>
      <c r="M53" s="127">
        <f t="shared" ca="1" si="12"/>
        <v>4.4734550199548204</v>
      </c>
      <c r="N53" s="22"/>
      <c r="T53" s="10"/>
    </row>
    <row r="54" spans="1:22" outlineLevel="1" x14ac:dyDescent="0.15">
      <c r="A54" s="1214"/>
      <c r="B54" s="9" t="s">
        <v>329</v>
      </c>
      <c r="C54" s="12" t="s">
        <v>323</v>
      </c>
      <c r="D54" s="173">
        <f>Chem!C53</f>
        <v>35</v>
      </c>
      <c r="E54" s="13"/>
      <c r="F54" s="14"/>
      <c r="G54" s="243">
        <f t="shared" ca="1" si="12"/>
        <v>0</v>
      </c>
      <c r="H54" s="243">
        <f t="shared" ca="1" si="12"/>
        <v>0</v>
      </c>
      <c r="I54" s="243">
        <f t="shared" ca="1" si="12"/>
        <v>0</v>
      </c>
      <c r="J54" s="243">
        <f t="shared" ca="1" si="12"/>
        <v>0</v>
      </c>
      <c r="K54" s="243">
        <f t="shared" ca="1" si="12"/>
        <v>0</v>
      </c>
      <c r="L54" s="243">
        <f t="shared" ca="1" si="12"/>
        <v>0</v>
      </c>
      <c r="M54" s="243">
        <f t="shared" ca="1" si="12"/>
        <v>0</v>
      </c>
      <c r="N54" s="22"/>
      <c r="T54" s="10"/>
    </row>
    <row r="55" spans="1:22" outlineLevel="1" x14ac:dyDescent="0.15">
      <c r="A55" s="1214"/>
      <c r="B55" s="9" t="s">
        <v>330</v>
      </c>
      <c r="E55" s="11">
        <f>SUM(E51:E54)</f>
        <v>100</v>
      </c>
      <c r="F55" s="10">
        <f>(100-D54)/(E51/F51+E53/F53+E52/F52)</f>
        <v>1.4222894199941707</v>
      </c>
      <c r="G55" s="802">
        <f t="shared" ref="G55:M55" ca="1" si="13">G51/$E51*100</f>
        <v>223.6727509976694</v>
      </c>
      <c r="H55" s="127">
        <f t="shared" ca="1" si="13"/>
        <v>223.6727509976694</v>
      </c>
      <c r="I55" s="127">
        <f t="shared" ca="1" si="13"/>
        <v>223.6727509976694</v>
      </c>
      <c r="J55" s="127">
        <f t="shared" ca="1" si="13"/>
        <v>223.6727509976694</v>
      </c>
      <c r="K55" s="127">
        <f t="shared" ca="1" si="13"/>
        <v>223.6727509976694</v>
      </c>
      <c r="L55" s="127">
        <f t="shared" ca="1" si="13"/>
        <v>223.6727509976694</v>
      </c>
      <c r="M55" s="127">
        <f t="shared" ca="1" si="13"/>
        <v>223.6727509976694</v>
      </c>
      <c r="N55" s="1029"/>
      <c r="T55" s="10"/>
    </row>
    <row r="56" spans="1:22" outlineLevel="1" x14ac:dyDescent="0.15">
      <c r="A56" s="1214"/>
      <c r="B56" s="9"/>
      <c r="E56" s="11"/>
      <c r="F56" s="10"/>
      <c r="G56" s="127"/>
      <c r="H56" s="127"/>
      <c r="I56" s="127"/>
      <c r="J56" s="127"/>
      <c r="K56" s="127"/>
      <c r="L56" s="127"/>
      <c r="M56" s="127"/>
      <c r="N56" s="22"/>
      <c r="T56" s="10"/>
    </row>
    <row r="57" spans="1:22" ht="16" outlineLevel="1" x14ac:dyDescent="0.2">
      <c r="A57" s="1214"/>
      <c r="B57" s="463" t="s">
        <v>331</v>
      </c>
      <c r="C57" s="67"/>
      <c r="G57" s="127"/>
      <c r="H57" s="127"/>
      <c r="I57" s="127"/>
      <c r="J57" s="127"/>
      <c r="K57" s="127"/>
      <c r="L57" s="127"/>
      <c r="M57" s="127"/>
      <c r="N57" s="22"/>
    </row>
    <row r="58" spans="1:22" ht="14" outlineLevel="1" x14ac:dyDescent="0.15">
      <c r="A58" s="1214"/>
      <c r="B58" s="9" t="str">
        <f>"Positive electrode additve (" &amp; Chem!$C$75&amp; "), g/cell"</f>
        <v>Positive electrode additve (None), g/cell</v>
      </c>
      <c r="C58" s="67"/>
      <c r="E58" s="11"/>
      <c r="F58" s="10"/>
      <c r="G58" s="127">
        <f ca="1">G48*Chem!$C$76</f>
        <v>0</v>
      </c>
      <c r="H58" s="127">
        <f ca="1">H48*Chem!$C$76</f>
        <v>0</v>
      </c>
      <c r="I58" s="127">
        <f ca="1">I48*Chem!$C$76</f>
        <v>0</v>
      </c>
      <c r="J58" s="127">
        <f ca="1">J48*Chem!$C$76</f>
        <v>0</v>
      </c>
      <c r="K58" s="127">
        <f ca="1">K48*Chem!$C$76</f>
        <v>0</v>
      </c>
      <c r="L58" s="127">
        <f ca="1">L48*Chem!$C$76</f>
        <v>0</v>
      </c>
      <c r="M58" s="127">
        <f ca="1">M48*Chem!$C$76</f>
        <v>0</v>
      </c>
      <c r="N58" s="22"/>
    </row>
    <row r="59" spans="1:22" ht="14" outlineLevel="1" x14ac:dyDescent="0.15">
      <c r="A59" s="1214"/>
      <c r="B59" s="9" t="str">
        <f>"Negative electrode additve (" &amp; Chem!$C$81&amp; "), g/cell"</f>
        <v>Negative electrode additve (None), g/cell</v>
      </c>
      <c r="C59" s="67"/>
      <c r="E59" s="11"/>
      <c r="F59" s="10"/>
      <c r="G59" s="127">
        <f ca="1">Chem!$C$82*G55</f>
        <v>0</v>
      </c>
      <c r="H59" s="127">
        <f ca="1">Chem!$C$82*H55</f>
        <v>0</v>
      </c>
      <c r="I59" s="127">
        <f ca="1">Chem!$C$82*I55</f>
        <v>0</v>
      </c>
      <c r="J59" s="127">
        <f ca="1">Chem!$C$82*J55</f>
        <v>0</v>
      </c>
      <c r="K59" s="127">
        <f ca="1">Chem!$C$82*K55</f>
        <v>0</v>
      </c>
      <c r="L59" s="127">
        <f ca="1">Chem!$C$82*L55</f>
        <v>0</v>
      </c>
      <c r="M59" s="127">
        <f ca="1">Chem!$C$82*M55</f>
        <v>0</v>
      </c>
      <c r="N59" s="22"/>
    </row>
    <row r="60" spans="1:22" outlineLevel="1" x14ac:dyDescent="0.15">
      <c r="B60" s="9" t="str">
        <f>"Electrolyte additve (" &amp; Chem!$C$87&amp; "), g/cell"</f>
        <v>Electrolyte additve (None), g/cell</v>
      </c>
      <c r="G60" s="127">
        <f ca="1">G71*Chem!$C$88</f>
        <v>0</v>
      </c>
      <c r="H60" s="127">
        <f ca="1">H71*Chem!$C$88</f>
        <v>0</v>
      </c>
      <c r="I60" s="127">
        <f ca="1">I71*Chem!$C$88</f>
        <v>0</v>
      </c>
      <c r="J60" s="127">
        <f ca="1">J71*Chem!$C$88</f>
        <v>0</v>
      </c>
      <c r="K60" s="127">
        <f ca="1">K71*Chem!$C$88</f>
        <v>0</v>
      </c>
      <c r="L60" s="127">
        <f ca="1">L71*Chem!$C$88</f>
        <v>0</v>
      </c>
      <c r="M60" s="127">
        <f ca="1">M71*Chem!$C$88</f>
        <v>0</v>
      </c>
    </row>
    <row r="61" spans="1:22" ht="14" outlineLevel="1" x14ac:dyDescent="0.15">
      <c r="A61" s="1214"/>
      <c r="B61" s="9"/>
      <c r="C61" s="67"/>
      <c r="E61" s="11"/>
      <c r="F61" s="10"/>
      <c r="G61" s="127"/>
      <c r="H61" s="127"/>
      <c r="I61" s="127"/>
      <c r="J61" s="127"/>
      <c r="K61" s="127"/>
      <c r="L61" s="127"/>
      <c r="M61" s="127"/>
      <c r="N61" s="22"/>
    </row>
    <row r="62" spans="1:22" ht="16" outlineLevel="1" x14ac:dyDescent="0.2">
      <c r="A62" s="1214"/>
      <c r="B62" s="463" t="s">
        <v>332</v>
      </c>
      <c r="C62" s="67"/>
      <c r="E62" s="11" t="s">
        <v>333</v>
      </c>
      <c r="F62" s="10" t="s">
        <v>318</v>
      </c>
      <c r="G62" s="127"/>
      <c r="H62" s="127"/>
      <c r="I62" s="127"/>
      <c r="J62" s="127"/>
      <c r="K62" s="127"/>
      <c r="L62" s="127"/>
      <c r="M62" s="127"/>
      <c r="N62" s="22"/>
    </row>
    <row r="63" spans="1:22" outlineLevel="1" x14ac:dyDescent="0.15">
      <c r="A63" s="1214"/>
      <c r="B63" s="9" t="s">
        <v>334</v>
      </c>
      <c r="D63" s="173" t="str">
        <f>IF(Chem!C31="aluminum","Al","Cu")</f>
        <v>Al</v>
      </c>
      <c r="E63" s="173">
        <f>Chem!C32</f>
        <v>20</v>
      </c>
      <c r="F63" s="174">
        <f>IF(D63="Al",_rho_Al,_rho_Cu)</f>
        <v>2.7</v>
      </c>
      <c r="G63" s="15">
        <f t="shared" ref="G63:M63" ca="1" si="14">G302*G303*(G304+G308)/1000000</f>
        <v>0.64492177759649549</v>
      </c>
      <c r="H63" s="15">
        <f t="shared" ca="1" si="14"/>
        <v>0.64492177759649549</v>
      </c>
      <c r="I63" s="15">
        <f t="shared" ca="1" si="14"/>
        <v>0.64492177759649549</v>
      </c>
      <c r="J63" s="15">
        <f t="shared" ca="1" si="14"/>
        <v>0.64492177759649549</v>
      </c>
      <c r="K63" s="15">
        <f t="shared" ca="1" si="14"/>
        <v>0.64492177759649549</v>
      </c>
      <c r="L63" s="15">
        <f t="shared" ca="1" si="14"/>
        <v>0.64492177759649549</v>
      </c>
      <c r="M63" s="15">
        <f t="shared" ca="1" si="14"/>
        <v>0.64492177759649549</v>
      </c>
      <c r="N63" s="99"/>
      <c r="O63" s="680"/>
    </row>
    <row r="64" spans="1:22" ht="14" outlineLevel="1" x14ac:dyDescent="0.2">
      <c r="A64" s="1214"/>
      <c r="B64" s="9" t="s">
        <v>335</v>
      </c>
      <c r="D64" s="173" t="str">
        <f>IF(Chem!C59="aluminum","Al","Cu")</f>
        <v>Cu</v>
      </c>
      <c r="E64" s="173">
        <f>Chem!C60</f>
        <v>15</v>
      </c>
      <c r="F64" s="174">
        <f>IF(D64="Al",_rho_Al,_rho_Cu)</f>
        <v>8.9600000000000009</v>
      </c>
      <c r="G64" s="15">
        <f t="shared" ref="G64:M64" ca="1" si="15">(G302+1)*(G303+G305)*(G304+G309+G305)/1000000</f>
        <v>0.68417338762522206</v>
      </c>
      <c r="H64" s="15">
        <f t="shared" ca="1" si="15"/>
        <v>0.68417338762522206</v>
      </c>
      <c r="I64" s="15">
        <f t="shared" ca="1" si="15"/>
        <v>0.68417338762522206</v>
      </c>
      <c r="J64" s="15">
        <f t="shared" ca="1" si="15"/>
        <v>0.68417338762522206</v>
      </c>
      <c r="K64" s="15">
        <f t="shared" ca="1" si="15"/>
        <v>0.68417338762522206</v>
      </c>
      <c r="L64" s="15">
        <f t="shared" ca="1" si="15"/>
        <v>0.68417338762522206</v>
      </c>
      <c r="M64" s="15">
        <f t="shared" ca="1" si="15"/>
        <v>0.68417338762522206</v>
      </c>
      <c r="N64" s="1030"/>
    </row>
    <row r="65" spans="1:17" ht="14" outlineLevel="1" x14ac:dyDescent="0.2">
      <c r="A65" s="1214"/>
      <c r="B65" s="9" t="s">
        <v>336</v>
      </c>
      <c r="E65" s="175">
        <f>Chem!C63</f>
        <v>15</v>
      </c>
      <c r="F65" s="176">
        <f>Chem!C65</f>
        <v>0.47299999999999998</v>
      </c>
      <c r="G65" s="15">
        <f t="shared" ref="G65:M65" ca="1" si="16">(G303+G306)*(G304+G307)*2*G302/1000000</f>
        <v>1.2176063771072401</v>
      </c>
      <c r="H65" s="15">
        <f t="shared" ca="1" si="16"/>
        <v>1.2176063771072401</v>
      </c>
      <c r="I65" s="15">
        <f t="shared" ca="1" si="16"/>
        <v>1.2176063771072401</v>
      </c>
      <c r="J65" s="15">
        <f t="shared" ca="1" si="16"/>
        <v>1.2176063771072401</v>
      </c>
      <c r="K65" s="15">
        <f t="shared" ca="1" si="16"/>
        <v>1.2176063771072401</v>
      </c>
      <c r="L65" s="15">
        <f t="shared" ca="1" si="16"/>
        <v>1.2176063771072401</v>
      </c>
      <c r="M65" s="15">
        <f t="shared" ca="1" si="16"/>
        <v>1.2176063771072401</v>
      </c>
      <c r="N65" s="1030"/>
    </row>
    <row r="66" spans="1:17" outlineLevel="1" x14ac:dyDescent="0.15">
      <c r="A66" s="1214"/>
      <c r="B66" s="8" t="s">
        <v>337</v>
      </c>
      <c r="E66" s="175"/>
      <c r="F66" s="174">
        <f>Chem!C68</f>
        <v>1.2</v>
      </c>
      <c r="G66" s="10">
        <f ca="1">(G48/$F48*$D47/100+G55/$F55*$D54/100+G65*$E65*Chem!$C64/100+G86*G303*G304/1000*0.02)/1000</f>
        <v>0.12003653228432903</v>
      </c>
      <c r="H66" s="10">
        <f ca="1">(H48/$F48*$D47/100+H55/$F55*$D54/100+H65*$E65*Chem!$C64/100+H86*H303*H304/1000*0.02)/1000</f>
        <v>0.12003653228432903</v>
      </c>
      <c r="I66" s="10">
        <f ca="1">(I48/$F48*$D47/100+I55/$F55*$D54/100+I65*$E65*Chem!$C64/100+I86*I303*I304/1000*0.02)/1000</f>
        <v>0.12003653228432903</v>
      </c>
      <c r="J66" s="10">
        <f ca="1">(J48/$F48*$D47/100+J55/$F55*$D54/100+J65*$E65*Chem!$C64/100+J86*J303*J304/1000*0.02)/1000</f>
        <v>0.12003653228432903</v>
      </c>
      <c r="K66" s="10">
        <f ca="1">(K48/$F48*$D47/100+K55/$F55*$D54/100+K65*$E65*Chem!$C64/100+K86*K303*K304/1000*0.02)/1000</f>
        <v>0.12003653228432903</v>
      </c>
      <c r="L66" s="10">
        <f ca="1">(L48/$F48*$D47/100+L55/$F55*$D54/100+L65*$E65*Chem!$C64/100+L86*L303*L304/1000*0.02)/1000</f>
        <v>0.12003653228432903</v>
      </c>
      <c r="M66" s="10">
        <f ca="1">(M48/$F48*$D47/100+M55/$F55*$D54/100+M65*$E65*Chem!$C64/100+M86*M303*M304/1000*0.02)/1000</f>
        <v>0.12003653228432903</v>
      </c>
      <c r="N66" s="1029"/>
    </row>
    <row r="67" spans="1:17" ht="14" outlineLevel="1" x14ac:dyDescent="0.15">
      <c r="A67" s="1214"/>
      <c r="B67" s="9"/>
      <c r="C67" s="67"/>
      <c r="E67" s="11"/>
      <c r="F67" s="10"/>
      <c r="N67" s="22"/>
    </row>
    <row r="68" spans="1:17" ht="14" outlineLevel="1" x14ac:dyDescent="0.15">
      <c r="A68" s="1214"/>
      <c r="B68" s="9" t="s">
        <v>338</v>
      </c>
      <c r="C68" s="67"/>
      <c r="E68" s="11"/>
      <c r="F68" s="10"/>
      <c r="G68" s="66">
        <f t="shared" ref="G68:M70" ca="1" si="17">G63*$E63*$F63</f>
        <v>34.825775990210758</v>
      </c>
      <c r="H68" s="66">
        <f t="shared" ca="1" si="17"/>
        <v>34.825775990210758</v>
      </c>
      <c r="I68" s="66">
        <f t="shared" ca="1" si="17"/>
        <v>34.825775990210758</v>
      </c>
      <c r="J68" s="66">
        <f t="shared" ca="1" si="17"/>
        <v>34.825775990210758</v>
      </c>
      <c r="K68" s="66">
        <f t="shared" ca="1" si="17"/>
        <v>34.825775990210758</v>
      </c>
      <c r="L68" s="66">
        <f t="shared" ca="1" si="17"/>
        <v>34.825775990210758</v>
      </c>
      <c r="M68" s="66">
        <f t="shared" ca="1" si="17"/>
        <v>34.825775990210758</v>
      </c>
      <c r="N68" s="22"/>
    </row>
    <row r="69" spans="1:17" ht="14" outlineLevel="1" x14ac:dyDescent="0.15">
      <c r="A69" s="1214"/>
      <c r="B69" s="9" t="s">
        <v>339</v>
      </c>
      <c r="C69" s="67"/>
      <c r="E69" s="11"/>
      <c r="F69" s="10"/>
      <c r="G69" s="66">
        <f t="shared" ca="1" si="17"/>
        <v>91.952903296829859</v>
      </c>
      <c r="H69" s="66">
        <f t="shared" ca="1" si="17"/>
        <v>91.952903296829859</v>
      </c>
      <c r="I69" s="66">
        <f t="shared" ca="1" si="17"/>
        <v>91.952903296829859</v>
      </c>
      <c r="J69" s="66">
        <f t="shared" ca="1" si="17"/>
        <v>91.952903296829859</v>
      </c>
      <c r="K69" s="66">
        <f t="shared" ca="1" si="17"/>
        <v>91.952903296829859</v>
      </c>
      <c r="L69" s="66">
        <f t="shared" ca="1" si="17"/>
        <v>91.952903296829859</v>
      </c>
      <c r="M69" s="66">
        <f t="shared" ca="1" si="17"/>
        <v>91.952903296829859</v>
      </c>
      <c r="N69" s="22"/>
    </row>
    <row r="70" spans="1:17" s="9" customFormat="1" outlineLevel="1" x14ac:dyDescent="0.15">
      <c r="B70" s="9" t="s">
        <v>340</v>
      </c>
      <c r="G70" s="66">
        <f t="shared" ca="1" si="17"/>
        <v>8.6389172455758665</v>
      </c>
      <c r="H70" s="66">
        <f t="shared" ca="1" si="17"/>
        <v>8.6389172455758665</v>
      </c>
      <c r="I70" s="66">
        <f t="shared" ca="1" si="17"/>
        <v>8.6389172455758665</v>
      </c>
      <c r="J70" s="66">
        <f t="shared" ca="1" si="17"/>
        <v>8.6389172455758665</v>
      </c>
      <c r="K70" s="66">
        <f t="shared" ca="1" si="17"/>
        <v>8.6389172455758665</v>
      </c>
      <c r="L70" s="66">
        <f t="shared" ca="1" si="17"/>
        <v>8.6389172455758665</v>
      </c>
      <c r="M70" s="66">
        <f t="shared" ca="1" si="17"/>
        <v>8.6389172455758665</v>
      </c>
    </row>
    <row r="71" spans="1:17" s="9" customFormat="1" outlineLevel="1" x14ac:dyDescent="0.15">
      <c r="B71" s="8" t="s">
        <v>341</v>
      </c>
      <c r="G71" s="66">
        <f ca="1">G66*Chem!$C$68*1000</f>
        <v>144.04383874119483</v>
      </c>
      <c r="H71" s="66">
        <f ca="1">H66*Chem!$C$68*1000</f>
        <v>144.04383874119483</v>
      </c>
      <c r="I71" s="66">
        <f ca="1">I66*Chem!$C$68*1000</f>
        <v>144.04383874119483</v>
      </c>
      <c r="J71" s="66">
        <f ca="1">J66*Chem!$C$68*1000</f>
        <v>144.04383874119483</v>
      </c>
      <c r="K71" s="66">
        <f ca="1">K66*Chem!$C$68*1000</f>
        <v>144.04383874119483</v>
      </c>
      <c r="L71" s="66">
        <f ca="1">L66*Chem!$C$68*1000</f>
        <v>144.04383874119483</v>
      </c>
      <c r="M71" s="66">
        <f ca="1">M66*Chem!$C$68*1000</f>
        <v>144.04383874119483</v>
      </c>
    </row>
    <row r="72" spans="1:17" s="9" customFormat="1" outlineLevel="1" x14ac:dyDescent="0.15"/>
    <row r="73" spans="1:17" outlineLevel="1" x14ac:dyDescent="0.15">
      <c r="A73" s="1214"/>
      <c r="B73" s="8" t="s">
        <v>342</v>
      </c>
      <c r="E73" s="63"/>
      <c r="F73" s="15"/>
      <c r="G73" s="66">
        <f t="shared" ref="G73:M73" ca="1" si="18">((G92+G93)*G97+G94*G96)*G90/1000*$F63</f>
        <v>6.3587715214087179</v>
      </c>
      <c r="H73" s="66">
        <f t="shared" ca="1" si="18"/>
        <v>6.3587715214087179</v>
      </c>
      <c r="I73" s="66">
        <f t="shared" ca="1" si="18"/>
        <v>6.3587715214087179</v>
      </c>
      <c r="J73" s="66">
        <f t="shared" ca="1" si="18"/>
        <v>6.3587715214087179</v>
      </c>
      <c r="K73" s="66">
        <f t="shared" ca="1" si="18"/>
        <v>6.3587715214087179</v>
      </c>
      <c r="L73" s="66">
        <f t="shared" ca="1" si="18"/>
        <v>6.3587715214087179</v>
      </c>
      <c r="M73" s="66">
        <f t="shared" ca="1" si="18"/>
        <v>6.3587715214087179</v>
      </c>
      <c r="N73" s="100"/>
    </row>
    <row r="74" spans="1:17" outlineLevel="1" x14ac:dyDescent="0.15">
      <c r="A74" s="1214"/>
      <c r="B74" s="8" t="s">
        <v>343</v>
      </c>
      <c r="E74" s="11"/>
      <c r="F74" s="15"/>
      <c r="G74" s="66">
        <f t="shared" ref="G74:M74" ca="1" si="19">((G92+G93)*G97+G94*G96)*G91/1000*$F64</f>
        <v>14.067800699215338</v>
      </c>
      <c r="H74" s="66">
        <f t="shared" ca="1" si="19"/>
        <v>14.067800699215338</v>
      </c>
      <c r="I74" s="66">
        <f t="shared" ca="1" si="19"/>
        <v>14.067800699215338</v>
      </c>
      <c r="J74" s="66">
        <f t="shared" ca="1" si="19"/>
        <v>14.067800699215338</v>
      </c>
      <c r="K74" s="66">
        <f t="shared" ca="1" si="19"/>
        <v>14.067800699215338</v>
      </c>
      <c r="L74" s="66">
        <f t="shared" ca="1" si="19"/>
        <v>14.067800699215338</v>
      </c>
      <c r="M74" s="66">
        <f t="shared" ca="1" si="19"/>
        <v>14.067800699215338</v>
      </c>
      <c r="N74" s="100"/>
    </row>
    <row r="75" spans="1:17" outlineLevel="1" x14ac:dyDescent="0.15">
      <c r="A75" s="1214"/>
      <c r="B75" s="8" t="s">
        <v>344</v>
      </c>
      <c r="E75" s="11"/>
      <c r="F75" s="15"/>
      <c r="G75" s="91">
        <f>100</f>
        <v>100</v>
      </c>
      <c r="H75" s="91">
        <f>100</f>
        <v>100</v>
      </c>
      <c r="I75" s="91">
        <f>100</f>
        <v>100</v>
      </c>
      <c r="J75" s="91">
        <f>100</f>
        <v>100</v>
      </c>
      <c r="K75" s="91">
        <f>100</f>
        <v>100</v>
      </c>
      <c r="L75" s="91">
        <f>100</f>
        <v>100</v>
      </c>
      <c r="M75" s="91">
        <f>100</f>
        <v>100</v>
      </c>
      <c r="N75" s="63"/>
    </row>
    <row r="76" spans="1:17" outlineLevel="1" x14ac:dyDescent="0.15">
      <c r="A76" s="1214"/>
      <c r="B76" s="8" t="s">
        <v>345</v>
      </c>
      <c r="E76" s="11"/>
      <c r="F76" s="15"/>
      <c r="G76" s="91">
        <f>30</f>
        <v>30</v>
      </c>
      <c r="H76" s="91">
        <f>30</f>
        <v>30</v>
      </c>
      <c r="I76" s="91">
        <f>30</f>
        <v>30</v>
      </c>
      <c r="J76" s="91">
        <f>30</f>
        <v>30</v>
      </c>
      <c r="K76" s="91">
        <f>30</f>
        <v>30</v>
      </c>
      <c r="L76" s="91">
        <f>30</f>
        <v>30</v>
      </c>
      <c r="M76" s="91">
        <f>30</f>
        <v>30</v>
      </c>
      <c r="N76" s="63"/>
    </row>
    <row r="77" spans="1:17" outlineLevel="1" x14ac:dyDescent="0.15">
      <c r="A77" s="1214"/>
      <c r="B77" s="8" t="s">
        <v>346</v>
      </c>
      <c r="E77" s="11"/>
      <c r="F77" s="15"/>
      <c r="G77" s="91">
        <f>20</f>
        <v>20</v>
      </c>
      <c r="H77" s="91">
        <f>20</f>
        <v>20</v>
      </c>
      <c r="I77" s="91">
        <f>20</f>
        <v>20</v>
      </c>
      <c r="J77" s="91">
        <f>20</f>
        <v>20</v>
      </c>
      <c r="K77" s="91">
        <f>20</f>
        <v>20</v>
      </c>
      <c r="L77" s="91">
        <f>20</f>
        <v>20</v>
      </c>
      <c r="M77" s="91">
        <f>20</f>
        <v>20</v>
      </c>
      <c r="N77" s="63"/>
    </row>
    <row r="78" spans="1:17" outlineLevel="1" x14ac:dyDescent="0.15">
      <c r="A78" s="1214"/>
      <c r="B78" s="8" t="s">
        <v>347</v>
      </c>
      <c r="E78" s="11"/>
      <c r="F78" s="15"/>
      <c r="G78" s="11">
        <f>G76+G75+G77</f>
        <v>150</v>
      </c>
      <c r="H78" s="11">
        <f t="shared" ref="H78:M78" si="20">H76+H75+H77</f>
        <v>150</v>
      </c>
      <c r="I78" s="11">
        <f t="shared" si="20"/>
        <v>150</v>
      </c>
      <c r="J78" s="11">
        <f t="shared" si="20"/>
        <v>150</v>
      </c>
      <c r="K78" s="11">
        <f t="shared" si="20"/>
        <v>150</v>
      </c>
      <c r="L78" s="11">
        <f t="shared" si="20"/>
        <v>150</v>
      </c>
      <c r="M78" s="11">
        <f t="shared" si="20"/>
        <v>150</v>
      </c>
      <c r="N78" s="1029"/>
      <c r="Q78" s="127"/>
    </row>
    <row r="79" spans="1:17" ht="14" outlineLevel="1" x14ac:dyDescent="0.2">
      <c r="A79" s="1214"/>
      <c r="B79" s="8" t="s">
        <v>348</v>
      </c>
      <c r="E79" s="11"/>
      <c r="F79" s="15"/>
      <c r="G79" s="66">
        <f t="shared" ref="G79:M79" si="21">(G76*_rho_PET+G75*_rho_Al+G77*_rho_PP)/G78</f>
        <v>2.2021333333333333</v>
      </c>
      <c r="H79" s="66">
        <f t="shared" si="21"/>
        <v>2.2021333333333333</v>
      </c>
      <c r="I79" s="66">
        <f t="shared" si="21"/>
        <v>2.2021333333333333</v>
      </c>
      <c r="J79" s="66">
        <f t="shared" si="21"/>
        <v>2.2021333333333333</v>
      </c>
      <c r="K79" s="66">
        <f t="shared" si="21"/>
        <v>2.2021333333333333</v>
      </c>
      <c r="L79" s="66">
        <f t="shared" si="21"/>
        <v>2.2021333333333333</v>
      </c>
      <c r="M79" s="66">
        <f t="shared" si="21"/>
        <v>2.2021333333333333</v>
      </c>
      <c r="N79" s="1029"/>
      <c r="O79" s="371"/>
    </row>
    <row r="80" spans="1:17" outlineLevel="1" x14ac:dyDescent="0.15">
      <c r="A80" s="1214"/>
      <c r="B80" s="8" t="s">
        <v>349</v>
      </c>
      <c r="E80" s="11"/>
      <c r="F80" s="15"/>
      <c r="G80" s="106">
        <f>6</f>
        <v>6</v>
      </c>
      <c r="H80" s="106">
        <f>6</f>
        <v>6</v>
      </c>
      <c r="I80" s="106">
        <f>6</f>
        <v>6</v>
      </c>
      <c r="J80" s="106">
        <f>6</f>
        <v>6</v>
      </c>
      <c r="K80" s="106">
        <f>6</f>
        <v>6</v>
      </c>
      <c r="L80" s="106">
        <f>6</f>
        <v>6</v>
      </c>
      <c r="M80" s="106">
        <f>6</f>
        <v>6</v>
      </c>
      <c r="N80" s="1029"/>
      <c r="O80" s="371"/>
    </row>
    <row r="81" spans="1:28" outlineLevel="1" x14ac:dyDescent="0.15">
      <c r="A81" s="1214"/>
      <c r="B81" s="8" t="s">
        <v>350</v>
      </c>
      <c r="E81" s="11"/>
      <c r="F81" s="15"/>
      <c r="G81" s="15">
        <f t="shared" ref="G81:M81" ca="1" si="22">((G311+2*G86+G80)*(G312-2*G92)+(G311+G80)*(G312-2*G92))*G78/1000*G79/1000</f>
        <v>19.916783634360687</v>
      </c>
      <c r="H81" s="15">
        <f t="shared" ca="1" si="22"/>
        <v>19.916783634360687</v>
      </c>
      <c r="I81" s="15">
        <f t="shared" ca="1" si="22"/>
        <v>19.916783634360687</v>
      </c>
      <c r="J81" s="15">
        <f t="shared" ca="1" si="22"/>
        <v>19.916783634360687</v>
      </c>
      <c r="K81" s="15">
        <f t="shared" ca="1" si="22"/>
        <v>19.916783634360687</v>
      </c>
      <c r="L81" s="15">
        <f t="shared" ca="1" si="22"/>
        <v>19.916783634360687</v>
      </c>
      <c r="M81" s="15">
        <f t="shared" ca="1" si="22"/>
        <v>19.916783634360687</v>
      </c>
      <c r="N81" s="1029"/>
      <c r="O81" s="371"/>
    </row>
    <row r="82" spans="1:28" outlineLevel="1" x14ac:dyDescent="0.15">
      <c r="A82" s="1214"/>
      <c r="B82" s="8" t="s">
        <v>351</v>
      </c>
      <c r="E82" s="11"/>
      <c r="F82" s="15"/>
      <c r="G82" s="11">
        <f t="shared" ref="G82:M82" ca="1" si="23">G48+G55+G68+G69+G70+G71+G73+G74+G81+G58+G59</f>
        <v>929.77519411709443</v>
      </c>
      <c r="H82" s="11">
        <f t="shared" ca="1" si="23"/>
        <v>929.77519411709443</v>
      </c>
      <c r="I82" s="11">
        <f t="shared" ca="1" si="23"/>
        <v>929.77519411709443</v>
      </c>
      <c r="J82" s="11">
        <f t="shared" ca="1" si="23"/>
        <v>929.77519411709443</v>
      </c>
      <c r="K82" s="11">
        <f t="shared" ca="1" si="23"/>
        <v>929.77519411709443</v>
      </c>
      <c r="L82" s="11">
        <f t="shared" ca="1" si="23"/>
        <v>929.77519411709443</v>
      </c>
      <c r="M82" s="11">
        <f t="shared" ca="1" si="23"/>
        <v>929.77519411709443</v>
      </c>
      <c r="N82" s="63"/>
    </row>
    <row r="83" spans="1:28" outlineLevel="1" x14ac:dyDescent="0.15">
      <c r="A83" s="1214"/>
      <c r="B83" s="8" t="s">
        <v>353</v>
      </c>
      <c r="E83" s="51"/>
      <c r="F83" s="10"/>
      <c r="G83" s="1162">
        <f>Dashboard!D67</f>
        <v>3</v>
      </c>
      <c r="H83" s="1162">
        <f>Dashboard!E67</f>
        <v>3</v>
      </c>
      <c r="I83" s="1162">
        <f>Dashboard!F67</f>
        <v>3</v>
      </c>
      <c r="J83" s="1162">
        <f>Dashboard!G67</f>
        <v>3</v>
      </c>
      <c r="K83" s="1162">
        <f>Dashboard!H67</f>
        <v>3</v>
      </c>
      <c r="L83" s="1162">
        <f>Dashboard!I67</f>
        <v>3</v>
      </c>
      <c r="M83" s="1162">
        <f>Dashboard!J67</f>
        <v>3</v>
      </c>
      <c r="N83" s="98"/>
    </row>
    <row r="84" spans="1:28" outlineLevel="1" x14ac:dyDescent="0.15">
      <c r="A84" s="1214"/>
      <c r="B84" s="8" t="s">
        <v>125</v>
      </c>
      <c r="E84" s="51"/>
      <c r="F84" s="10"/>
      <c r="G84" s="175">
        <f>Dashboard!D64</f>
        <v>20</v>
      </c>
      <c r="H84" s="175">
        <f>Dashboard!E64</f>
        <v>20</v>
      </c>
      <c r="I84" s="175">
        <f>Dashboard!F64</f>
        <v>20</v>
      </c>
      <c r="J84" s="175">
        <f>Dashboard!G64</f>
        <v>20</v>
      </c>
      <c r="K84" s="175">
        <f>Dashboard!H64</f>
        <v>20</v>
      </c>
      <c r="L84" s="175">
        <f>Dashboard!I64</f>
        <v>20</v>
      </c>
      <c r="M84" s="175">
        <f>Dashboard!J64</f>
        <v>20</v>
      </c>
      <c r="N84" s="151"/>
    </row>
    <row r="85" spans="1:28" ht="14" outlineLevel="1" x14ac:dyDescent="0.15">
      <c r="A85" s="1214"/>
      <c r="B85" s="8" t="s">
        <v>354</v>
      </c>
      <c r="E85" s="51"/>
      <c r="F85" s="10"/>
      <c r="N85" s="134"/>
      <c r="S85" s="73"/>
    </row>
    <row r="86" spans="1:28" outlineLevel="1" x14ac:dyDescent="0.15">
      <c r="A86" s="1214"/>
      <c r="B86" s="8" t="s">
        <v>78</v>
      </c>
      <c r="E86" s="51"/>
      <c r="G86" s="102">
        <f ca="1">IF(Dashboard!D65=0,Dashboard!D64,Dashboard!D65)+G484</f>
        <v>20.134127918567941</v>
      </c>
      <c r="H86" s="102">
        <f ca="1">IF(Dashboard!E65=0,Dashboard!E64,Dashboard!E65)+H484</f>
        <v>20.134127918567941</v>
      </c>
      <c r="I86" s="102">
        <f ca="1">IF(Dashboard!F65=0,Dashboard!F64,Dashboard!F65)+I484</f>
        <v>20.134127918567941</v>
      </c>
      <c r="J86" s="102">
        <f ca="1">IF(Dashboard!G65=0,Dashboard!G64,Dashboard!G65)+J484</f>
        <v>20.134127918567941</v>
      </c>
      <c r="K86" s="102">
        <f ca="1">IF(Dashboard!H65=0,Dashboard!H64,Dashboard!H65)+K484</f>
        <v>20.134127918567941</v>
      </c>
      <c r="L86" s="102">
        <f ca="1">IF(Dashboard!I65=0,Dashboard!I64,Dashboard!I65)+L484</f>
        <v>20.134127918567941</v>
      </c>
      <c r="M86" s="102">
        <f ca="1">IF(Dashboard!J65=0,Dashboard!J64,Dashboard!J65)+M484</f>
        <v>20.134127918567941</v>
      </c>
      <c r="N86" s="94"/>
    </row>
    <row r="87" spans="1:28" outlineLevel="1" x14ac:dyDescent="0.15">
      <c r="A87" s="1214"/>
      <c r="B87" s="8" t="s">
        <v>355</v>
      </c>
      <c r="E87" s="51"/>
      <c r="G87" s="1033">
        <v>1</v>
      </c>
      <c r="H87" s="1033">
        <v>1</v>
      </c>
      <c r="I87" s="1033">
        <v>1</v>
      </c>
      <c r="J87" s="1033">
        <v>1</v>
      </c>
      <c r="K87" s="1033">
        <v>1</v>
      </c>
      <c r="L87" s="1033">
        <v>1</v>
      </c>
      <c r="M87" s="1033">
        <v>1</v>
      </c>
      <c r="N87" s="152"/>
      <c r="T87" s="329"/>
      <c r="U87" s="329"/>
      <c r="V87" s="329"/>
      <c r="W87" s="329"/>
      <c r="X87" s="329"/>
      <c r="Y87" s="329"/>
      <c r="Z87" s="329"/>
      <c r="AA87" s="329"/>
      <c r="AB87" s="329"/>
    </row>
    <row r="88" spans="1:28" outlineLevel="1" x14ac:dyDescent="0.15">
      <c r="A88" s="1214"/>
      <c r="E88" s="51"/>
      <c r="G88" s="505"/>
      <c r="H88" s="505"/>
      <c r="I88" s="505"/>
      <c r="J88" s="505"/>
      <c r="K88" s="505"/>
      <c r="L88" s="505"/>
      <c r="M88" s="505"/>
      <c r="N88" s="152"/>
      <c r="T88" s="329"/>
      <c r="U88" s="329"/>
      <c r="V88" s="329"/>
      <c r="W88" s="329"/>
      <c r="X88" s="329"/>
      <c r="Y88" s="329"/>
      <c r="Z88" s="329"/>
      <c r="AA88" s="329"/>
      <c r="AB88" s="329"/>
    </row>
    <row r="89" spans="1:28" ht="14" outlineLevel="1" x14ac:dyDescent="0.15">
      <c r="A89" s="1214"/>
      <c r="B89" s="507" t="s">
        <v>356</v>
      </c>
      <c r="D89" s="156"/>
      <c r="G89" s="376"/>
      <c r="H89" s="376"/>
      <c r="I89" s="376"/>
      <c r="J89" s="376"/>
      <c r="K89" s="376"/>
      <c r="L89" s="376"/>
      <c r="M89" s="376"/>
      <c r="N89" s="324"/>
    </row>
    <row r="90" spans="1:28" outlineLevel="1" x14ac:dyDescent="0.15">
      <c r="A90" s="1214"/>
      <c r="B90" s="8" t="s">
        <v>357</v>
      </c>
      <c r="C90" s="45"/>
      <c r="D90" s="379"/>
      <c r="E90" s="45"/>
      <c r="F90" s="46"/>
      <c r="G90" s="106">
        <v>1.2</v>
      </c>
      <c r="H90" s="106">
        <v>1.2</v>
      </c>
      <c r="I90" s="106">
        <v>1.2</v>
      </c>
      <c r="J90" s="106">
        <v>1.2</v>
      </c>
      <c r="K90" s="106">
        <v>1.2</v>
      </c>
      <c r="L90" s="106">
        <v>1.2</v>
      </c>
      <c r="M90" s="106">
        <v>1.2</v>
      </c>
      <c r="N90" s="324"/>
    </row>
    <row r="91" spans="1:28" outlineLevel="1" x14ac:dyDescent="0.15">
      <c r="A91" s="1214"/>
      <c r="B91" s="8" t="s">
        <v>358</v>
      </c>
      <c r="C91" s="45"/>
      <c r="D91" s="379"/>
      <c r="E91" s="45"/>
      <c r="F91" s="46"/>
      <c r="G91" s="106">
        <f t="shared" ref="G91:M91" si="24">IF($D64="Cu",0.8,1.2)</f>
        <v>0.8</v>
      </c>
      <c r="H91" s="106">
        <f t="shared" si="24"/>
        <v>0.8</v>
      </c>
      <c r="I91" s="106">
        <f t="shared" si="24"/>
        <v>0.8</v>
      </c>
      <c r="J91" s="106">
        <f t="shared" si="24"/>
        <v>0.8</v>
      </c>
      <c r="K91" s="106">
        <f t="shared" si="24"/>
        <v>0.8</v>
      </c>
      <c r="L91" s="106">
        <f t="shared" si="24"/>
        <v>0.8</v>
      </c>
      <c r="M91" s="106">
        <f t="shared" si="24"/>
        <v>0.8</v>
      </c>
      <c r="N91" s="376"/>
      <c r="O91" s="376"/>
      <c r="P91" s="324"/>
    </row>
    <row r="92" spans="1:28" outlineLevel="1" x14ac:dyDescent="0.15">
      <c r="A92" s="1214"/>
      <c r="B92" s="8" t="s">
        <v>359</v>
      </c>
      <c r="C92" s="45"/>
      <c r="D92" s="379"/>
      <c r="E92" s="45"/>
      <c r="F92" s="46"/>
      <c r="G92" s="91">
        <f>8</f>
        <v>8</v>
      </c>
      <c r="H92" s="91">
        <f>8</f>
        <v>8</v>
      </c>
      <c r="I92" s="91">
        <f>8</f>
        <v>8</v>
      </c>
      <c r="J92" s="91">
        <f>8</f>
        <v>8</v>
      </c>
      <c r="K92" s="91">
        <f>8</f>
        <v>8</v>
      </c>
      <c r="L92" s="91">
        <f>8</f>
        <v>8</v>
      </c>
      <c r="M92" s="91">
        <f>8</f>
        <v>8</v>
      </c>
      <c r="N92" s="376"/>
      <c r="O92" s="376"/>
      <c r="P92" s="324"/>
    </row>
    <row r="93" spans="1:28" outlineLevel="1" x14ac:dyDescent="0.15">
      <c r="A93" s="1214"/>
      <c r="B93" s="8" t="s">
        <v>360</v>
      </c>
      <c r="C93" s="45"/>
      <c r="D93" s="379"/>
      <c r="E93" s="45"/>
      <c r="F93" s="46"/>
      <c r="G93" s="91">
        <f>5</f>
        <v>5</v>
      </c>
      <c r="H93" s="91">
        <f>5</f>
        <v>5</v>
      </c>
      <c r="I93" s="91">
        <f>5</f>
        <v>5</v>
      </c>
      <c r="J93" s="91">
        <f>5</f>
        <v>5</v>
      </c>
      <c r="K93" s="91">
        <f>5</f>
        <v>5</v>
      </c>
      <c r="L93" s="91">
        <f>5</f>
        <v>5</v>
      </c>
      <c r="M93" s="91">
        <f>5</f>
        <v>5</v>
      </c>
      <c r="N93" s="376"/>
      <c r="O93" s="376"/>
      <c r="P93" s="324"/>
    </row>
    <row r="94" spans="1:28" outlineLevel="1" x14ac:dyDescent="0.15">
      <c r="A94" s="1214"/>
      <c r="B94" t="s">
        <v>361</v>
      </c>
      <c r="C94" s="45"/>
      <c r="D94" s="379"/>
      <c r="E94" s="45"/>
      <c r="F94" s="46"/>
      <c r="G94" s="2">
        <f t="shared" ref="G94:M94" ca="1" si="25">G308-G100</f>
        <v>20.147540710424735</v>
      </c>
      <c r="H94" s="2">
        <f t="shared" ca="1" si="25"/>
        <v>20.147540710424735</v>
      </c>
      <c r="I94" s="2">
        <f t="shared" ca="1" si="25"/>
        <v>20.147540710424735</v>
      </c>
      <c r="J94" s="2">
        <f t="shared" ca="1" si="25"/>
        <v>20.147540710424735</v>
      </c>
      <c r="K94" s="2">
        <f t="shared" ca="1" si="25"/>
        <v>20.147540710424735</v>
      </c>
      <c r="L94" s="2">
        <f t="shared" ca="1" si="25"/>
        <v>20.147540710424735</v>
      </c>
      <c r="M94" s="2">
        <f t="shared" ca="1" si="25"/>
        <v>20.147540710424735</v>
      </c>
      <c r="N94" s="376"/>
      <c r="O94" s="376"/>
      <c r="P94" s="324"/>
    </row>
    <row r="95" spans="1:28" outlineLevel="1" x14ac:dyDescent="0.15">
      <c r="A95" s="1214"/>
      <c r="B95" s="8" t="s">
        <v>362</v>
      </c>
      <c r="C95" s="45"/>
      <c r="D95" s="379"/>
      <c r="E95" s="45"/>
      <c r="F95" s="46"/>
      <c r="G95" s="91">
        <f>2</f>
        <v>2</v>
      </c>
      <c r="H95" s="91">
        <f>2</f>
        <v>2</v>
      </c>
      <c r="I95" s="91">
        <f>2</f>
        <v>2</v>
      </c>
      <c r="J95" s="91">
        <f>2</f>
        <v>2</v>
      </c>
      <c r="K95" s="91">
        <f>2</f>
        <v>2</v>
      </c>
      <c r="L95" s="91">
        <f>2</f>
        <v>2</v>
      </c>
      <c r="M95" s="91">
        <f>2</f>
        <v>2</v>
      </c>
      <c r="N95" s="376"/>
      <c r="O95" s="376"/>
      <c r="P95" s="324"/>
    </row>
    <row r="96" spans="1:28" outlineLevel="1" x14ac:dyDescent="0.15">
      <c r="A96" s="1214"/>
      <c r="B96" s="8" t="s">
        <v>363</v>
      </c>
      <c r="C96" s="45"/>
      <c r="D96" s="379"/>
      <c r="E96" s="45"/>
      <c r="F96" s="46"/>
      <c r="G96" s="2">
        <f t="shared" ref="G96:M96" ca="1" si="26">G303-2*G95</f>
        <v>71.600987119831856</v>
      </c>
      <c r="H96" s="2">
        <f t="shared" ca="1" si="26"/>
        <v>71.600987119831856</v>
      </c>
      <c r="I96" s="2">
        <f t="shared" ca="1" si="26"/>
        <v>71.600987119831856</v>
      </c>
      <c r="J96" s="2">
        <f t="shared" ca="1" si="26"/>
        <v>71.600987119831856</v>
      </c>
      <c r="K96" s="2">
        <f t="shared" ca="1" si="26"/>
        <v>71.600987119831856</v>
      </c>
      <c r="L96" s="2">
        <f t="shared" ca="1" si="26"/>
        <v>71.600987119831856</v>
      </c>
      <c r="M96" s="2">
        <f t="shared" ca="1" si="26"/>
        <v>71.600987119831856</v>
      </c>
      <c r="N96" s="376"/>
      <c r="O96" s="376"/>
      <c r="P96" s="324"/>
    </row>
    <row r="97" spans="1:32" outlineLevel="1" x14ac:dyDescent="0.15">
      <c r="A97" s="1214"/>
      <c r="B97" s="8" t="s">
        <v>364</v>
      </c>
      <c r="C97"/>
      <c r="D97" s="159"/>
      <c r="E97"/>
      <c r="F97" s="46"/>
      <c r="G97" s="45">
        <f t="shared" ref="G97:M97" ca="1" si="27">IF(G303&gt;84,50,40)</f>
        <v>40</v>
      </c>
      <c r="H97" s="45">
        <f t="shared" ca="1" si="27"/>
        <v>40</v>
      </c>
      <c r="I97" s="45">
        <f t="shared" ca="1" si="27"/>
        <v>40</v>
      </c>
      <c r="J97" s="45">
        <f t="shared" ca="1" si="27"/>
        <v>40</v>
      </c>
      <c r="K97" s="45">
        <f t="shared" ca="1" si="27"/>
        <v>40</v>
      </c>
      <c r="L97" s="45">
        <f t="shared" ca="1" si="27"/>
        <v>40</v>
      </c>
      <c r="M97" s="45">
        <f t="shared" ca="1" si="27"/>
        <v>40</v>
      </c>
      <c r="N97" s="376"/>
      <c r="O97" s="376"/>
      <c r="P97" s="324"/>
    </row>
    <row r="98" spans="1:32" outlineLevel="1" x14ac:dyDescent="0.15">
      <c r="A98" s="1214"/>
      <c r="B98" t="s">
        <v>365</v>
      </c>
      <c r="C98" s="45"/>
      <c r="D98" s="379"/>
      <c r="E98" s="45"/>
      <c r="F98" s="45"/>
      <c r="G98" s="2">
        <f t="shared" ref="G98:M98" ca="1" si="28">G94+G93+G92</f>
        <v>33.147540710424735</v>
      </c>
      <c r="H98" s="2">
        <f t="shared" ca="1" si="28"/>
        <v>33.147540710424735</v>
      </c>
      <c r="I98" s="2">
        <f t="shared" ca="1" si="28"/>
        <v>33.147540710424735</v>
      </c>
      <c r="J98" s="2">
        <f t="shared" ca="1" si="28"/>
        <v>33.147540710424735</v>
      </c>
      <c r="K98" s="2">
        <f t="shared" ca="1" si="28"/>
        <v>33.147540710424735</v>
      </c>
      <c r="L98" s="2">
        <f t="shared" ca="1" si="28"/>
        <v>33.147540710424735</v>
      </c>
      <c r="M98" s="2">
        <f t="shared" ca="1" si="28"/>
        <v>33.147540710424735</v>
      </c>
      <c r="N98" s="376"/>
      <c r="O98" s="376"/>
      <c r="P98" s="324"/>
    </row>
    <row r="99" spans="1:32" ht="13.5" customHeight="1" outlineLevel="1" x14ac:dyDescent="0.15">
      <c r="A99" s="1214"/>
      <c r="B99" s="9" t="s">
        <v>366</v>
      </c>
      <c r="D99" s="379"/>
      <c r="E99" s="45"/>
      <c r="F99" s="45"/>
      <c r="G99" s="2">
        <f t="shared" ref="G99:M99" ca="1" si="29">1.2*G98</f>
        <v>39.777048852509679</v>
      </c>
      <c r="H99" s="2">
        <f t="shared" ca="1" si="29"/>
        <v>39.777048852509679</v>
      </c>
      <c r="I99" s="2">
        <f t="shared" ca="1" si="29"/>
        <v>39.777048852509679</v>
      </c>
      <c r="J99" s="2">
        <f t="shared" ca="1" si="29"/>
        <v>39.777048852509679</v>
      </c>
      <c r="K99" s="2">
        <f t="shared" ca="1" si="29"/>
        <v>39.777048852509679</v>
      </c>
      <c r="L99" s="2">
        <f t="shared" ca="1" si="29"/>
        <v>39.777048852509679</v>
      </c>
      <c r="M99" s="2">
        <f t="shared" ca="1" si="29"/>
        <v>39.777048852509679</v>
      </c>
      <c r="N99" s="376"/>
      <c r="O99" s="376"/>
      <c r="P99" s="324"/>
    </row>
    <row r="100" spans="1:32" outlineLevel="1" x14ac:dyDescent="0.15">
      <c r="A100" s="1214"/>
      <c r="B100" s="8" t="s">
        <v>367</v>
      </c>
      <c r="D100" s="156"/>
      <c r="F100" s="46"/>
      <c r="G100" s="1032">
        <f t="shared" ref="G100:M100" ca="1" si="30">G86*0.1+G307/2</f>
        <v>4.0134127918567941</v>
      </c>
      <c r="H100" s="1032">
        <f t="shared" ca="1" si="30"/>
        <v>4.0134127918567941</v>
      </c>
      <c r="I100" s="1032">
        <f t="shared" ca="1" si="30"/>
        <v>4.0134127918567941</v>
      </c>
      <c r="J100" s="1032">
        <f t="shared" ca="1" si="30"/>
        <v>4.0134127918567941</v>
      </c>
      <c r="K100" s="1032">
        <f t="shared" ca="1" si="30"/>
        <v>4.0134127918567941</v>
      </c>
      <c r="L100" s="1032">
        <f t="shared" ca="1" si="30"/>
        <v>4.0134127918567941</v>
      </c>
      <c r="M100" s="1032">
        <f t="shared" ca="1" si="30"/>
        <v>4.0134127918567941</v>
      </c>
      <c r="N100" s="125"/>
      <c r="W100" s="1214"/>
      <c r="X100" s="1214"/>
      <c r="Y100" s="1214"/>
      <c r="Z100" s="1214"/>
      <c r="AA100" s="1214"/>
      <c r="AB100" s="1214"/>
      <c r="AC100" s="1214"/>
      <c r="AD100" s="1214"/>
      <c r="AE100" s="1214"/>
      <c r="AF100" s="1214"/>
    </row>
    <row r="101" spans="1:32" outlineLevel="1" x14ac:dyDescent="0.15">
      <c r="A101" s="1214"/>
      <c r="D101" s="156"/>
      <c r="F101" s="46"/>
      <c r="G101" s="145"/>
      <c r="H101" s="145"/>
      <c r="I101" s="145"/>
      <c r="J101" s="145"/>
      <c r="K101" s="145"/>
      <c r="L101" s="145"/>
      <c r="M101" s="145"/>
      <c r="N101" s="125"/>
      <c r="W101" s="1214"/>
      <c r="X101" s="1214"/>
      <c r="Y101" s="1214"/>
      <c r="Z101" s="1214"/>
      <c r="AA101" s="1214"/>
      <c r="AB101" s="1214"/>
      <c r="AC101" s="1214"/>
      <c r="AD101" s="1214"/>
      <c r="AE101" s="1214"/>
      <c r="AF101" s="1214"/>
    </row>
    <row r="102" spans="1:32" ht="16" outlineLevel="1" x14ac:dyDescent="0.2">
      <c r="A102" s="1214"/>
      <c r="B102" s="463" t="s">
        <v>368</v>
      </c>
      <c r="C102" s="67"/>
      <c r="D102" s="67"/>
      <c r="E102" s="11"/>
      <c r="F102" s="15"/>
      <c r="G102" s="22"/>
      <c r="H102" s="22"/>
      <c r="I102" s="22"/>
      <c r="J102" s="22"/>
      <c r="K102" s="22"/>
      <c r="L102" s="22"/>
      <c r="M102" s="22"/>
      <c r="N102" s="125"/>
      <c r="W102" s="1214"/>
      <c r="X102" s="1214"/>
      <c r="Y102" s="1214"/>
      <c r="Z102" s="1214"/>
      <c r="AA102" s="1214"/>
      <c r="AB102" s="1214"/>
      <c r="AC102" s="1214"/>
      <c r="AD102" s="1214"/>
      <c r="AE102" s="1214"/>
      <c r="AF102" s="1214"/>
    </row>
    <row r="103" spans="1:32" outlineLevel="1" x14ac:dyDescent="0.15">
      <c r="A103" s="1214"/>
      <c r="B103" s="8" t="s">
        <v>369</v>
      </c>
      <c r="F103" s="15"/>
      <c r="G103" s="174">
        <f>Chem!$C8</f>
        <v>187.1</v>
      </c>
      <c r="H103" s="174">
        <f>Chem!$C8</f>
        <v>187.1</v>
      </c>
      <c r="I103" s="174">
        <f>Chem!$C8</f>
        <v>187.1</v>
      </c>
      <c r="J103" s="174">
        <f>Chem!$C8</f>
        <v>187.1</v>
      </c>
      <c r="K103" s="174">
        <f>Chem!$C8</f>
        <v>187.1</v>
      </c>
      <c r="L103" s="174">
        <f>Chem!$C8</f>
        <v>187.1</v>
      </c>
      <c r="M103" s="174">
        <f>Chem!$C8</f>
        <v>187.1</v>
      </c>
      <c r="N103" s="22"/>
      <c r="O103" s="22"/>
      <c r="P103" s="22"/>
      <c r="W103" s="46"/>
      <c r="X103" s="46"/>
      <c r="Y103" s="46"/>
      <c r="Z103" s="46"/>
      <c r="AA103" s="46"/>
      <c r="AB103" s="46"/>
      <c r="AC103" s="46"/>
      <c r="AD103" s="46"/>
      <c r="AE103" s="46"/>
      <c r="AF103" s="46"/>
    </row>
    <row r="104" spans="1:32" ht="14" outlineLevel="1" x14ac:dyDescent="0.2">
      <c r="A104" s="1214"/>
      <c r="B104" s="9" t="s">
        <v>370</v>
      </c>
      <c r="F104" s="15"/>
      <c r="G104" s="10">
        <f t="shared" ref="G104:M104" si="31">G103/1000*$E44/100*$F48</f>
        <v>0.4856998675506593</v>
      </c>
      <c r="H104" s="10">
        <f t="shared" si="31"/>
        <v>0.4856998675506593</v>
      </c>
      <c r="I104" s="10">
        <f t="shared" si="31"/>
        <v>0.4856998675506593</v>
      </c>
      <c r="J104" s="10">
        <f t="shared" si="31"/>
        <v>0.4856998675506593</v>
      </c>
      <c r="K104" s="10">
        <f t="shared" si="31"/>
        <v>0.4856998675506593</v>
      </c>
      <c r="L104" s="10">
        <f t="shared" si="31"/>
        <v>0.4856998675506593</v>
      </c>
      <c r="M104" s="10">
        <f t="shared" si="31"/>
        <v>0.4856998675506593</v>
      </c>
      <c r="N104" s="46"/>
      <c r="O104" s="46"/>
      <c r="P104" s="46"/>
      <c r="W104" s="89"/>
      <c r="X104" s="89"/>
      <c r="Y104" s="89"/>
      <c r="Z104" s="89"/>
      <c r="AA104" s="89"/>
      <c r="AB104" s="89"/>
      <c r="AC104" s="89"/>
      <c r="AD104" s="89"/>
      <c r="AE104" s="89"/>
      <c r="AF104" s="89"/>
    </row>
    <row r="105" spans="1:32" outlineLevel="1" x14ac:dyDescent="0.15">
      <c r="A105" s="1214"/>
      <c r="B105" s="8" t="s">
        <v>371</v>
      </c>
      <c r="G105" s="174">
        <f>Chem!$C38</f>
        <v>360.4</v>
      </c>
      <c r="H105" s="174">
        <f>Chem!$C38</f>
        <v>360.4</v>
      </c>
      <c r="I105" s="174">
        <f>Chem!$C38</f>
        <v>360.4</v>
      </c>
      <c r="J105" s="174">
        <f>Chem!$C38</f>
        <v>360.4</v>
      </c>
      <c r="K105" s="174">
        <f>Chem!$C38</f>
        <v>360.4</v>
      </c>
      <c r="L105" s="174">
        <f>Chem!$C38</f>
        <v>360.4</v>
      </c>
      <c r="M105" s="174">
        <f>Chem!$C38</f>
        <v>360.4</v>
      </c>
      <c r="N105" s="10"/>
      <c r="O105" s="10"/>
      <c r="P105" s="10"/>
      <c r="W105" s="330"/>
      <c r="X105" s="330"/>
      <c r="Y105" s="330"/>
      <c r="Z105" s="330"/>
      <c r="AA105" s="330"/>
      <c r="AB105" s="330"/>
      <c r="AC105" s="330"/>
      <c r="AD105" s="330"/>
      <c r="AE105" s="330"/>
      <c r="AF105" s="330"/>
    </row>
    <row r="106" spans="1:32" ht="14" outlineLevel="1" x14ac:dyDescent="0.2">
      <c r="A106" s="1214"/>
      <c r="B106" s="9" t="s">
        <v>372</v>
      </c>
      <c r="G106" s="10">
        <f t="shared" ref="G106:M106" si="32">G105/1000*$E51/100*$F55</f>
        <v>0.4920893826872631</v>
      </c>
      <c r="H106" s="10">
        <f t="shared" si="32"/>
        <v>0.4920893826872631</v>
      </c>
      <c r="I106" s="10">
        <f t="shared" si="32"/>
        <v>0.4920893826872631</v>
      </c>
      <c r="J106" s="10">
        <f t="shared" si="32"/>
        <v>0.4920893826872631</v>
      </c>
      <c r="K106" s="10">
        <f t="shared" si="32"/>
        <v>0.4920893826872631</v>
      </c>
      <c r="L106" s="10">
        <f t="shared" si="32"/>
        <v>0.4920893826872631</v>
      </c>
      <c r="M106" s="10">
        <f t="shared" si="32"/>
        <v>0.4920893826872631</v>
      </c>
      <c r="N106" s="46"/>
      <c r="O106" s="46"/>
      <c r="P106" s="46"/>
    </row>
    <row r="107" spans="1:32" outlineLevel="1" x14ac:dyDescent="0.15">
      <c r="A107" s="1214"/>
      <c r="B107" s="9" t="s">
        <v>373</v>
      </c>
      <c r="G107" s="174">
        <f>Chem!$C37</f>
        <v>1.1000000000000001</v>
      </c>
      <c r="H107" s="174">
        <f>Chem!$C37</f>
        <v>1.1000000000000001</v>
      </c>
      <c r="I107" s="174">
        <f>Chem!$C37</f>
        <v>1.1000000000000001</v>
      </c>
      <c r="J107" s="174">
        <f>Chem!$C37</f>
        <v>1.1000000000000001</v>
      </c>
      <c r="K107" s="174">
        <f>Chem!$C37</f>
        <v>1.1000000000000001</v>
      </c>
      <c r="L107" s="174">
        <f>Chem!$C37</f>
        <v>1.1000000000000001</v>
      </c>
      <c r="M107" s="174">
        <f>Chem!$C37</f>
        <v>1.1000000000000001</v>
      </c>
      <c r="N107" s="10"/>
      <c r="O107" s="10"/>
      <c r="P107" s="10"/>
      <c r="W107" s="330"/>
      <c r="X107" s="330"/>
      <c r="Y107" s="330"/>
      <c r="Z107" s="330"/>
      <c r="AA107" s="330"/>
      <c r="AB107" s="330"/>
      <c r="AC107" s="330"/>
      <c r="AD107" s="330"/>
      <c r="AE107" s="330"/>
      <c r="AF107" s="330"/>
    </row>
    <row r="108" spans="1:32" outlineLevel="1" x14ac:dyDescent="0.15">
      <c r="A108" s="1214"/>
      <c r="B108" s="9" t="s">
        <v>374</v>
      </c>
      <c r="C108" s="46"/>
      <c r="E108" s="46"/>
      <c r="F108" s="79"/>
      <c r="G108" s="15">
        <f t="shared" ref="G108:M108" ca="1" si="33">(G303+G305)*(G304+G305)/G303/G304*100-100</f>
        <v>3.5506191426225513</v>
      </c>
      <c r="H108" s="15">
        <f t="shared" ca="1" si="33"/>
        <v>3.5506191426225513</v>
      </c>
      <c r="I108" s="15">
        <f t="shared" ca="1" si="33"/>
        <v>3.5506191426225513</v>
      </c>
      <c r="J108" s="15">
        <f t="shared" ca="1" si="33"/>
        <v>3.5506191426225513</v>
      </c>
      <c r="K108" s="15">
        <f t="shared" ca="1" si="33"/>
        <v>3.5506191426225513</v>
      </c>
      <c r="L108" s="15">
        <f t="shared" ca="1" si="33"/>
        <v>3.5506191426225513</v>
      </c>
      <c r="M108" s="15">
        <f t="shared" ca="1" si="33"/>
        <v>3.5506191426225513</v>
      </c>
      <c r="N108" s="1031"/>
      <c r="O108" s="15"/>
      <c r="P108" s="15"/>
      <c r="W108" s="330"/>
      <c r="X108" s="330"/>
      <c r="Y108" s="330"/>
      <c r="Z108" s="330"/>
      <c r="AA108" s="330"/>
      <c r="AB108" s="330"/>
      <c r="AC108" s="330"/>
      <c r="AD108" s="330"/>
      <c r="AE108" s="330"/>
      <c r="AF108" s="330"/>
    </row>
    <row r="109" spans="1:32" ht="14" outlineLevel="1" thickBot="1" x14ac:dyDescent="0.2">
      <c r="A109" s="1214"/>
      <c r="B109" s="9"/>
      <c r="C109" s="46"/>
      <c r="E109" s="46"/>
      <c r="F109" s="79"/>
      <c r="G109" s="15"/>
      <c r="H109" s="15"/>
      <c r="I109" s="15"/>
      <c r="J109" s="15"/>
      <c r="K109" s="15"/>
      <c r="L109" s="15"/>
      <c r="M109" s="15"/>
      <c r="N109" s="15"/>
      <c r="O109" s="15"/>
      <c r="P109" s="15"/>
      <c r="W109" s="330"/>
      <c r="X109" s="330"/>
      <c r="Y109" s="330"/>
      <c r="Z109" s="330"/>
      <c r="AA109" s="330"/>
      <c r="AB109" s="330"/>
      <c r="AC109" s="330"/>
      <c r="AD109" s="330"/>
      <c r="AE109" s="330"/>
      <c r="AF109" s="330"/>
    </row>
    <row r="110" spans="1:32" ht="21" thickBot="1" x14ac:dyDescent="0.25">
      <c r="A110" s="1214"/>
      <c r="B110" s="1262" t="s">
        <v>375</v>
      </c>
      <c r="C110" s="1263"/>
      <c r="D110" s="1263"/>
      <c r="E110" s="1263"/>
      <c r="F110" s="1263"/>
      <c r="G110" s="1263"/>
      <c r="H110" s="1263"/>
      <c r="I110" s="1263"/>
      <c r="J110" s="1263"/>
      <c r="K110" s="1263"/>
      <c r="L110" s="1263"/>
      <c r="M110" s="1264"/>
      <c r="N110" s="9"/>
      <c r="O110" s="9"/>
      <c r="P110" s="9"/>
      <c r="W110" s="330"/>
      <c r="X110" s="330"/>
      <c r="Y110" s="330"/>
      <c r="Z110" s="330"/>
      <c r="AA110" s="330"/>
      <c r="AB110" s="330"/>
      <c r="AC110" s="330"/>
      <c r="AD110" s="330"/>
      <c r="AE110" s="330"/>
      <c r="AF110" s="330"/>
    </row>
    <row r="111" spans="1:32" ht="19" thickBot="1" x14ac:dyDescent="0.25">
      <c r="A111" s="1214"/>
      <c r="B111" s="1313" t="s">
        <v>2400</v>
      </c>
      <c r="C111" s="1314"/>
      <c r="D111" s="1314"/>
      <c r="E111" s="1314"/>
      <c r="F111" s="1314"/>
      <c r="G111" s="1314"/>
      <c r="H111" s="1314"/>
      <c r="I111" s="1314"/>
      <c r="J111" s="1314"/>
      <c r="K111" s="1314"/>
      <c r="L111" s="1314"/>
      <c r="M111" s="1315"/>
      <c r="N111" s="9"/>
      <c r="O111" s="9"/>
      <c r="P111" s="9"/>
      <c r="W111" s="330"/>
      <c r="X111" s="330"/>
      <c r="Y111" s="330"/>
      <c r="Z111" s="330"/>
      <c r="AA111" s="330"/>
      <c r="AB111" s="330"/>
      <c r="AC111" s="330"/>
      <c r="AD111" s="330"/>
      <c r="AE111" s="330"/>
      <c r="AF111" s="330"/>
    </row>
    <row r="112" spans="1:32" ht="15" thickBot="1" x14ac:dyDescent="0.2">
      <c r="A112" s="1214"/>
      <c r="B112" s="80"/>
      <c r="C112" s="67"/>
      <c r="D112" s="67"/>
      <c r="E112" s="82"/>
      <c r="G112" s="9"/>
      <c r="H112" s="9"/>
      <c r="I112" s="9"/>
      <c r="J112" s="9"/>
      <c r="K112" s="9"/>
      <c r="L112" s="9"/>
      <c r="M112" s="9"/>
      <c r="N112" s="9"/>
      <c r="O112" s="9"/>
      <c r="P112" s="9"/>
      <c r="W112" s="330"/>
      <c r="X112" s="330"/>
      <c r="Y112" s="330"/>
      <c r="Z112" s="330"/>
      <c r="AA112" s="330"/>
      <c r="AB112" s="330"/>
      <c r="AC112" s="330"/>
      <c r="AD112" s="330"/>
      <c r="AE112" s="330"/>
      <c r="AF112" s="330"/>
    </row>
    <row r="113" spans="1:32" ht="19" thickBot="1" x14ac:dyDescent="0.25">
      <c r="A113" s="1214"/>
      <c r="B113" s="1310" t="s">
        <v>376</v>
      </c>
      <c r="C113" s="1311"/>
      <c r="D113" s="1311"/>
      <c r="E113" s="1311"/>
      <c r="F113" s="1311"/>
      <c r="G113" s="1311"/>
      <c r="H113" s="1311"/>
      <c r="I113" s="1311"/>
      <c r="J113" s="1311"/>
      <c r="K113" s="1311"/>
      <c r="L113" s="1311"/>
      <c r="M113" s="1312"/>
      <c r="N113" s="9"/>
      <c r="O113" s="9"/>
      <c r="P113" s="9"/>
      <c r="W113" s="330"/>
      <c r="X113" s="330"/>
      <c r="Y113" s="330"/>
      <c r="Z113" s="330"/>
      <c r="AA113" s="330"/>
      <c r="AB113" s="330"/>
      <c r="AC113" s="330"/>
      <c r="AD113" s="330"/>
      <c r="AE113" s="330"/>
      <c r="AF113" s="330"/>
    </row>
    <row r="114" spans="1:32" ht="14" x14ac:dyDescent="0.15">
      <c r="A114" s="1214"/>
      <c r="B114" s="80"/>
      <c r="C114" s="67"/>
      <c r="D114" s="67"/>
      <c r="E114" s="82"/>
      <c r="G114" s="9"/>
      <c r="H114" s="9"/>
      <c r="I114" s="9"/>
      <c r="J114" s="9"/>
      <c r="K114" s="9"/>
      <c r="L114" s="9"/>
      <c r="M114" s="9"/>
      <c r="N114" s="9"/>
      <c r="O114" s="9"/>
      <c r="P114" s="9"/>
      <c r="W114" s="330"/>
      <c r="X114" s="330"/>
      <c r="Y114" s="330"/>
      <c r="Z114" s="330"/>
      <c r="AA114" s="330"/>
      <c r="AB114" s="330"/>
      <c r="AC114" s="330"/>
      <c r="AD114" s="330"/>
      <c r="AE114" s="330"/>
      <c r="AF114" s="330"/>
    </row>
    <row r="115" spans="1:32" ht="16" outlineLevel="1" x14ac:dyDescent="0.2">
      <c r="A115" s="1214"/>
      <c r="B115" s="463" t="s">
        <v>377</v>
      </c>
      <c r="C115" s="67"/>
      <c r="D115" s="67"/>
      <c r="E115" s="82"/>
      <c r="G115" s="9"/>
      <c r="H115" s="9"/>
      <c r="I115" s="9"/>
      <c r="J115" s="9"/>
      <c r="K115" s="9"/>
      <c r="L115" s="9"/>
      <c r="M115" s="9"/>
      <c r="N115" s="9"/>
      <c r="O115" s="9"/>
      <c r="P115" s="9"/>
      <c r="W115" s="330"/>
      <c r="X115" s="330"/>
      <c r="Y115" s="330"/>
      <c r="Z115" s="330"/>
      <c r="AA115" s="330"/>
      <c r="AB115" s="330"/>
      <c r="AC115" s="330"/>
      <c r="AD115" s="330"/>
      <c r="AE115" s="330"/>
      <c r="AF115" s="330"/>
    </row>
    <row r="116" spans="1:32" ht="14" outlineLevel="1" x14ac:dyDescent="0.15">
      <c r="A116" s="1214"/>
      <c r="B116" s="9" t="s">
        <v>378</v>
      </c>
      <c r="C116" s="67"/>
      <c r="D116" s="67"/>
      <c r="E116" s="82"/>
      <c r="G116" s="481">
        <f>EXP(Chem!$C$144*1000/8.31*(1/(298)-1/(Dashboard!D49+273)))</f>
        <v>0.81880563938097639</v>
      </c>
      <c r="H116" s="481">
        <f>EXP(Chem!$C$144*1000/8.31*(1/(298)-1/(Dashboard!E49+273)))</f>
        <v>0.81880563938097639</v>
      </c>
      <c r="I116" s="481">
        <f>EXP(Chem!$C$144*1000/8.31*(1/(298)-1/(Dashboard!F49+273)))</f>
        <v>0.81880563938097639</v>
      </c>
      <c r="J116" s="481">
        <f>EXP(Chem!$C$144*1000/8.31*(1/(298)-1/(Dashboard!G49+273)))</f>
        <v>0.81880563938097639</v>
      </c>
      <c r="K116" s="481">
        <f>EXP(Chem!$C$144*1000/8.31*(1/(298)-1/(Dashboard!H49+273)))</f>
        <v>0.81880563938097639</v>
      </c>
      <c r="L116" s="481">
        <f>EXP(Chem!$C$144*1000/8.31*(1/(298)-1/(Dashboard!I49+273)))</f>
        <v>0.81880563938097639</v>
      </c>
      <c r="M116" s="481">
        <f>EXP(Chem!$C$144*1000/8.31*(1/(298)-1/(Dashboard!J49+273)))</f>
        <v>0.81880563938097639</v>
      </c>
      <c r="N116" s="9"/>
      <c r="O116" s="9"/>
      <c r="P116" s="9"/>
      <c r="W116" s="330"/>
      <c r="X116" s="330"/>
      <c r="Y116" s="330"/>
      <c r="Z116" s="330"/>
      <c r="AA116" s="330"/>
      <c r="AB116" s="330"/>
      <c r="AC116" s="330"/>
      <c r="AD116" s="330"/>
      <c r="AE116" s="330"/>
      <c r="AF116" s="330"/>
    </row>
    <row r="117" spans="1:32" outlineLevel="1" x14ac:dyDescent="0.15">
      <c r="A117" s="1214"/>
      <c r="B117" s="9" t="s">
        <v>379</v>
      </c>
      <c r="F117" s="66"/>
      <c r="G117" s="91">
        <v>80</v>
      </c>
      <c r="H117" s="91">
        <v>80</v>
      </c>
      <c r="I117" s="91">
        <v>80</v>
      </c>
      <c r="J117" s="91">
        <v>80</v>
      </c>
      <c r="K117" s="91">
        <v>80</v>
      </c>
      <c r="L117" s="91">
        <v>80</v>
      </c>
      <c r="M117" s="91">
        <v>80</v>
      </c>
      <c r="N117" s="9"/>
      <c r="O117" s="9"/>
      <c r="P117" s="9"/>
      <c r="W117" s="330"/>
      <c r="X117" s="330"/>
      <c r="Y117" s="330"/>
      <c r="Z117" s="330"/>
      <c r="AA117" s="330"/>
      <c r="AB117" s="330"/>
      <c r="AC117" s="330"/>
      <c r="AD117" s="330"/>
      <c r="AE117" s="330"/>
      <c r="AF117" s="330"/>
    </row>
    <row r="118" spans="1:32" outlineLevel="1" x14ac:dyDescent="0.15">
      <c r="A118" s="1214"/>
      <c r="B118" s="8" t="s">
        <v>380</v>
      </c>
      <c r="F118" s="89"/>
      <c r="G118" s="66">
        <f ca="1">IF(Dashboard!$D6=0,100-G139,100/2*(1+1/G140*(MAX(G140^2-4*G22*1000/G31*G238/G293, 0.001))^0.5))</f>
        <v>93.941857123999057</v>
      </c>
      <c r="H118" s="66">
        <f ca="1">IF(Dashboard!$D6=0,100-H139,100/2*(1+1/H140*(MAX(H140^2-4*H22*1000/H31*H238/H293, 0.001))^0.5))</f>
        <v>93.941857123999057</v>
      </c>
      <c r="I118" s="66">
        <f ca="1">IF(Dashboard!$D6=0,100-I139,100/2*(1+1/I140*(MAX(I140^2-4*I22*1000/I31*I238/I293, 0.001))^0.5))</f>
        <v>93.941857123999057</v>
      </c>
      <c r="J118" s="66">
        <f ca="1">IF(Dashboard!$D6=0,100-J139,100/2*(1+1/J140*(MAX(J140^2-4*J22*1000/J31*J238/J293, 0.001))^0.5))</f>
        <v>93.941857123999057</v>
      </c>
      <c r="K118" s="66">
        <f ca="1">IF(Dashboard!$D6=0,100-K139,100/2*(1+1/K140*(MAX(K140^2-4*K22*1000/K31*K238/K293, 0.001))^0.5))</f>
        <v>93.941857123999057</v>
      </c>
      <c r="L118" s="66">
        <f ca="1">IF(Dashboard!$D6=0,100-L139,100/2*(1+1/L140*(MAX(L140^2-4*L22*1000/L31*L238/L293, 0.001))^0.5))</f>
        <v>93.941857123999057</v>
      </c>
      <c r="M118" s="66">
        <f ca="1">IF(Dashboard!$D6=0,100-M139,100/2*(1+1/M140*(MAX(M140^2-4*M22*1000/M31*M238/M293, 0.001))^0.5))</f>
        <v>93.941857123999057</v>
      </c>
      <c r="N118" s="9"/>
      <c r="O118" s="9"/>
      <c r="P118" s="9"/>
      <c r="W118" s="330"/>
      <c r="X118" s="330"/>
      <c r="Y118" s="330"/>
      <c r="Z118" s="330"/>
      <c r="AA118" s="330"/>
      <c r="AB118" s="330"/>
      <c r="AC118" s="330"/>
      <c r="AD118" s="330"/>
      <c r="AE118" s="330"/>
      <c r="AF118" s="330"/>
    </row>
    <row r="119" spans="1:32" ht="16" outlineLevel="1" x14ac:dyDescent="0.2">
      <c r="A119" s="1214"/>
      <c r="B119" s="463"/>
      <c r="C119" s="67"/>
      <c r="D119" s="67"/>
      <c r="E119" s="82"/>
      <c r="G119" s="9"/>
      <c r="H119" s="9"/>
      <c r="I119" s="9"/>
      <c r="J119" s="9"/>
      <c r="K119" s="9"/>
      <c r="L119" s="9"/>
      <c r="M119" s="9"/>
      <c r="N119" s="9"/>
      <c r="O119" s="9"/>
      <c r="P119" s="9"/>
      <c r="W119" s="330"/>
      <c r="X119" s="330"/>
      <c r="Y119" s="330"/>
      <c r="Z119" s="330"/>
      <c r="AA119" s="330"/>
      <c r="AB119" s="330"/>
      <c r="AC119" s="330"/>
      <c r="AD119" s="330"/>
      <c r="AE119" s="330"/>
      <c r="AF119" s="330"/>
    </row>
    <row r="120" spans="1:32" ht="16" outlineLevel="1" x14ac:dyDescent="0.2">
      <c r="A120" s="1214"/>
      <c r="B120" s="463" t="s">
        <v>381</v>
      </c>
      <c r="C120" s="67"/>
      <c r="D120" s="67"/>
      <c r="E120" s="82"/>
      <c r="G120" s="9"/>
      <c r="H120" s="9"/>
      <c r="I120" s="9"/>
      <c r="J120" s="9"/>
      <c r="K120" s="9"/>
      <c r="L120" s="9"/>
      <c r="M120" s="9"/>
      <c r="N120" s="9"/>
      <c r="O120" s="9"/>
      <c r="P120" s="9"/>
      <c r="W120" s="330"/>
      <c r="X120" s="330"/>
      <c r="Y120" s="330"/>
      <c r="Z120" s="330"/>
      <c r="AA120" s="330"/>
      <c r="AB120" s="330"/>
      <c r="AC120" s="330"/>
      <c r="AD120" s="330"/>
      <c r="AE120" s="330"/>
      <c r="AF120" s="330"/>
    </row>
    <row r="121" spans="1:32" ht="14" outlineLevel="1" x14ac:dyDescent="0.15">
      <c r="A121" s="1214"/>
      <c r="B121" s="9" t="s">
        <v>382</v>
      </c>
      <c r="C121" s="67"/>
      <c r="D121" s="67"/>
      <c r="E121" s="82"/>
      <c r="G121" s="173">
        <f>Dashboard!$I$34</f>
        <v>95</v>
      </c>
      <c r="H121" s="173">
        <f>Dashboard!$I$34</f>
        <v>95</v>
      </c>
      <c r="I121" s="173">
        <f>Dashboard!$I$34</f>
        <v>95</v>
      </c>
      <c r="J121" s="173">
        <f>Dashboard!$I$34</f>
        <v>95</v>
      </c>
      <c r="K121" s="173">
        <f>Dashboard!$I$34</f>
        <v>95</v>
      </c>
      <c r="L121" s="173">
        <f>Dashboard!$I$34</f>
        <v>95</v>
      </c>
      <c r="M121" s="173">
        <f>Dashboard!$I$34</f>
        <v>95</v>
      </c>
      <c r="N121" s="9"/>
      <c r="O121" s="9"/>
      <c r="P121" s="9"/>
      <c r="W121" s="330"/>
      <c r="X121" s="330"/>
      <c r="Y121" s="330"/>
      <c r="Z121" s="330"/>
      <c r="AA121" s="330"/>
      <c r="AB121" s="330"/>
      <c r="AC121" s="330"/>
      <c r="AD121" s="330"/>
      <c r="AE121" s="330"/>
      <c r="AF121" s="330"/>
    </row>
    <row r="122" spans="1:32" ht="14" outlineLevel="1" x14ac:dyDescent="0.15">
      <c r="A122" s="1214"/>
      <c r="B122" s="9" t="s">
        <v>383</v>
      </c>
      <c r="C122" s="67"/>
      <c r="D122" s="67"/>
      <c r="E122" s="82"/>
      <c r="G122" s="10">
        <f ca="1">IF(Restart__0_1 = 0, Chem!$C$97, FORECAST(G121,OFFSET(_OCV_array,MATCH(G121,_SOC_percentages,1)-1,0,2),OFFSET(_SOC_percentages,MATCH(G121,_SOC_percentages,1)-1,0,2)))</f>
        <v>4.1905277092057052</v>
      </c>
      <c r="H122" s="10">
        <f ca="1">IF(Restart__0_1 = 0, Chem!$C$97, FORECAST(H121,OFFSET(_OCV_array,MATCH(H121,_SOC_percentages,1)-1,0,2),OFFSET(_SOC_percentages,MATCH(H121,_SOC_percentages,1)-1,0,2)))</f>
        <v>4.1905277092057052</v>
      </c>
      <c r="I122" s="10">
        <f ca="1">IF(Restart__0_1 = 0, Chem!$C$97, FORECAST(I121,OFFSET(_OCV_array,MATCH(I121,_SOC_percentages,1)-1,0,2),OFFSET(_SOC_percentages,MATCH(I121,_SOC_percentages,1)-1,0,2)))</f>
        <v>4.1905277092057052</v>
      </c>
      <c r="J122" s="10">
        <f ca="1">IF(Restart__0_1 = 0, Chem!$C$97, FORECAST(J121,OFFSET(_OCV_array,MATCH(J121,_SOC_percentages,1)-1,0,2),OFFSET(_SOC_percentages,MATCH(J121,_SOC_percentages,1)-1,0,2)))</f>
        <v>4.1905277092057052</v>
      </c>
      <c r="K122" s="10">
        <f ca="1">IF(Restart__0_1 = 0, Chem!$C$97, FORECAST(K121,OFFSET(_OCV_array,MATCH(K121,_SOC_percentages,1)-1,0,2),OFFSET(_SOC_percentages,MATCH(K121,_SOC_percentages,1)-1,0,2)))</f>
        <v>4.1905277092057052</v>
      </c>
      <c r="L122" s="10">
        <f ca="1">IF(Restart__0_1 = 0, Chem!$C$97, FORECAST(L121,OFFSET(_OCV_array,MATCH(L121,_SOC_percentages,1)-1,0,2),OFFSET(_SOC_percentages,MATCH(L121,_SOC_percentages,1)-1,0,2)))</f>
        <v>4.1905277092057052</v>
      </c>
      <c r="M122" s="10">
        <f ca="1">IF(Restart__0_1 = 0, Chem!$C$97, FORECAST(M121,OFFSET(_OCV_array,MATCH(M121,_SOC_percentages,1)-1,0,2),OFFSET(_SOC_percentages,MATCH(M121,_SOC_percentages,1)-1,0,2)))</f>
        <v>4.1905277092057052</v>
      </c>
      <c r="N122" s="9"/>
      <c r="O122" s="9"/>
      <c r="P122" s="9"/>
      <c r="W122" s="330"/>
      <c r="X122" s="330"/>
      <c r="Y122" s="330"/>
      <c r="Z122" s="330"/>
      <c r="AA122" s="330"/>
      <c r="AB122" s="330"/>
      <c r="AC122" s="330"/>
      <c r="AD122" s="330"/>
      <c r="AE122" s="330"/>
      <c r="AF122" s="330"/>
    </row>
    <row r="123" spans="1:32" ht="14" outlineLevel="1" x14ac:dyDescent="0.15">
      <c r="A123" s="1214"/>
      <c r="B123" s="9" t="s">
        <v>384</v>
      </c>
      <c r="C123" s="67"/>
      <c r="D123" s="67"/>
      <c r="E123" s="82"/>
      <c r="G123" s="10">
        <f t="shared" ref="G123:M123" ca="1" si="34" xml:space="preserve"> FORECAST(G121,OFFSET(_ASI_2s,MATCH(G121,_SOC_percentages,1)-1,0,2),OFFSET(_SOC_percentages,MATCH(G121,_SOC_percentages,1)-1,0,2))</f>
        <v>8.4562037884789092</v>
      </c>
      <c r="H123" s="10">
        <f t="shared" ca="1" si="34"/>
        <v>8.4562037884789092</v>
      </c>
      <c r="I123" s="10">
        <f t="shared" ca="1" si="34"/>
        <v>8.4562037884789092</v>
      </c>
      <c r="J123" s="10">
        <f t="shared" ca="1" si="34"/>
        <v>8.4562037884789092</v>
      </c>
      <c r="K123" s="10">
        <f t="shared" ca="1" si="34"/>
        <v>8.4562037884789092</v>
      </c>
      <c r="L123" s="10">
        <f t="shared" ca="1" si="34"/>
        <v>8.4562037884789092</v>
      </c>
      <c r="M123" s="10">
        <f t="shared" ca="1" si="34"/>
        <v>8.4562037884789092</v>
      </c>
      <c r="N123" s="9"/>
      <c r="O123" s="9"/>
      <c r="P123" s="9"/>
      <c r="W123" s="330"/>
      <c r="X123" s="330"/>
      <c r="Y123" s="330"/>
      <c r="Z123" s="330"/>
      <c r="AA123" s="330"/>
      <c r="AB123" s="330"/>
      <c r="AC123" s="330"/>
      <c r="AD123" s="330"/>
      <c r="AE123" s="330"/>
      <c r="AF123" s="330"/>
    </row>
    <row r="124" spans="1:32" ht="14" outlineLevel="1" x14ac:dyDescent="0.15">
      <c r="A124" s="1214"/>
      <c r="B124" s="9" t="s">
        <v>385</v>
      </c>
      <c r="C124" s="67"/>
      <c r="D124" s="67"/>
      <c r="E124" s="82"/>
      <c r="G124" s="10">
        <f t="shared" ref="G124:M124" ca="1" si="35" xml:space="preserve"> FORECAST(G121,OFFSET(_ASI_10s,MATCH(G121,_SOC_percentages,1)-1,0,2),OFFSET(_SOC_percentages,MATCH(G121,_SOC_percentages,1)-1,0,2))</f>
        <v>12.688561868839175</v>
      </c>
      <c r="H124" s="10">
        <f t="shared" ca="1" si="35"/>
        <v>12.688561868839175</v>
      </c>
      <c r="I124" s="10">
        <f t="shared" ca="1" si="35"/>
        <v>12.688561868839175</v>
      </c>
      <c r="J124" s="10">
        <f t="shared" ca="1" si="35"/>
        <v>12.688561868839175</v>
      </c>
      <c r="K124" s="10">
        <f t="shared" ca="1" si="35"/>
        <v>12.688561868839175</v>
      </c>
      <c r="L124" s="10">
        <f t="shared" ca="1" si="35"/>
        <v>12.688561868839175</v>
      </c>
      <c r="M124" s="10">
        <f t="shared" ca="1" si="35"/>
        <v>12.688561868839175</v>
      </c>
      <c r="N124" s="9"/>
      <c r="O124" s="9"/>
      <c r="P124" s="9"/>
      <c r="W124" s="330"/>
      <c r="X124" s="330"/>
      <c r="Y124" s="330"/>
      <c r="Z124" s="330"/>
      <c r="AA124" s="330"/>
      <c r="AB124" s="330"/>
      <c r="AC124" s="330"/>
      <c r="AD124" s="330"/>
      <c r="AE124" s="330"/>
      <c r="AF124" s="330"/>
    </row>
    <row r="125" spans="1:32" x14ac:dyDescent="0.15">
      <c r="B125" s="9" t="s">
        <v>386</v>
      </c>
      <c r="G125" s="10">
        <f t="shared" ref="G125:M125" ca="1" si="36">G124*G116</f>
        <v>10.389466013839938</v>
      </c>
      <c r="H125" s="10">
        <f t="shared" ca="1" si="36"/>
        <v>10.389466013839938</v>
      </c>
      <c r="I125" s="10">
        <f t="shared" ca="1" si="36"/>
        <v>10.389466013839938</v>
      </c>
      <c r="J125" s="10">
        <f t="shared" ca="1" si="36"/>
        <v>10.389466013839938</v>
      </c>
      <c r="K125" s="10">
        <f t="shared" ca="1" si="36"/>
        <v>10.389466013839938</v>
      </c>
      <c r="L125" s="10">
        <f t="shared" ca="1" si="36"/>
        <v>10.389466013839938</v>
      </c>
      <c r="M125" s="10">
        <f t="shared" ca="1" si="36"/>
        <v>10.389466013839938</v>
      </c>
    </row>
    <row r="126" spans="1:32" ht="14" outlineLevel="1" x14ac:dyDescent="0.15">
      <c r="A126" s="1214"/>
      <c r="B126" s="9"/>
      <c r="C126" s="67"/>
      <c r="D126" s="67"/>
      <c r="E126" s="82"/>
      <c r="G126" s="10"/>
      <c r="H126" s="10"/>
      <c r="I126" s="10"/>
      <c r="J126" s="10"/>
      <c r="K126" s="10"/>
      <c r="L126" s="10"/>
      <c r="M126" s="10"/>
      <c r="N126" s="9"/>
      <c r="O126" s="9"/>
      <c r="P126" s="9"/>
      <c r="W126" s="330"/>
      <c r="X126" s="330"/>
      <c r="Y126" s="330"/>
      <c r="Z126" s="330"/>
      <c r="AA126" s="330"/>
      <c r="AB126" s="330"/>
      <c r="AC126" s="330"/>
      <c r="AD126" s="330"/>
      <c r="AE126" s="330"/>
      <c r="AF126" s="330"/>
    </row>
    <row r="127" spans="1:32" ht="16" outlineLevel="1" x14ac:dyDescent="0.2">
      <c r="A127" s="1214"/>
      <c r="B127" s="463" t="s">
        <v>387</v>
      </c>
      <c r="C127" s="67"/>
      <c r="D127" s="67"/>
      <c r="E127" s="82"/>
      <c r="G127" s="10"/>
      <c r="H127" s="10"/>
      <c r="I127" s="10"/>
      <c r="J127" s="10"/>
      <c r="K127" s="10"/>
      <c r="L127" s="10"/>
      <c r="M127" s="10"/>
      <c r="N127" s="9"/>
      <c r="O127" s="9"/>
      <c r="P127" s="9"/>
      <c r="W127" s="330"/>
      <c r="X127" s="330"/>
      <c r="Y127" s="330"/>
      <c r="Z127" s="330"/>
      <c r="AA127" s="330"/>
      <c r="AB127" s="330"/>
      <c r="AC127" s="330"/>
      <c r="AD127" s="330"/>
      <c r="AE127" s="330"/>
      <c r="AF127" s="330"/>
    </row>
    <row r="128" spans="1:32" ht="14" outlineLevel="1" x14ac:dyDescent="0.15">
      <c r="A128" s="1214"/>
      <c r="B128" s="9" t="s">
        <v>388</v>
      </c>
      <c r="C128" s="67"/>
      <c r="D128" s="67"/>
      <c r="E128" s="82"/>
      <c r="G128" s="173">
        <f>Dashboard!$I$35</f>
        <v>10</v>
      </c>
      <c r="H128" s="173">
        <f>Dashboard!$I$35</f>
        <v>10</v>
      </c>
      <c r="I128" s="173">
        <f>Dashboard!$I$35</f>
        <v>10</v>
      </c>
      <c r="J128" s="173">
        <f>Dashboard!$I$35</f>
        <v>10</v>
      </c>
      <c r="K128" s="173">
        <f>Dashboard!$I$35</f>
        <v>10</v>
      </c>
      <c r="L128" s="173">
        <f>Dashboard!$I$35</f>
        <v>10</v>
      </c>
      <c r="M128" s="173">
        <f>Dashboard!$I$35</f>
        <v>10</v>
      </c>
      <c r="N128" s="9"/>
      <c r="O128" s="9"/>
      <c r="P128" s="9"/>
      <c r="W128" s="330"/>
      <c r="X128" s="330"/>
      <c r="Y128" s="330"/>
      <c r="Z128" s="330"/>
      <c r="AA128" s="330"/>
      <c r="AB128" s="330"/>
      <c r="AC128" s="330"/>
      <c r="AD128" s="330"/>
      <c r="AE128" s="330"/>
      <c r="AF128" s="330"/>
    </row>
    <row r="129" spans="1:32" ht="14" outlineLevel="1" x14ac:dyDescent="0.15">
      <c r="A129" s="1214"/>
      <c r="B129" s="9" t="s">
        <v>389</v>
      </c>
      <c r="C129" s="67"/>
      <c r="D129" s="67"/>
      <c r="E129" s="82"/>
      <c r="G129" s="10">
        <f t="shared" ref="G129:M129" ca="1" si="37">FORECAST(G128,OFFSET(_OCV_array,MATCH(G128,_SOC_percentages,1)-1,0,2),OFFSET(_SOC_percentages,MATCH(G128,_SOC_percentages,1)-1,0,2))</f>
        <v>3.5361555825881736</v>
      </c>
      <c r="H129" s="10">
        <f t="shared" ca="1" si="37"/>
        <v>3.5361555825881736</v>
      </c>
      <c r="I129" s="10">
        <f t="shared" ca="1" si="37"/>
        <v>3.5361555825881736</v>
      </c>
      <c r="J129" s="10">
        <f t="shared" ca="1" si="37"/>
        <v>3.5361555825881736</v>
      </c>
      <c r="K129" s="10">
        <f t="shared" ca="1" si="37"/>
        <v>3.5361555825881736</v>
      </c>
      <c r="L129" s="10">
        <f t="shared" ca="1" si="37"/>
        <v>3.5361555825881736</v>
      </c>
      <c r="M129" s="10">
        <f t="shared" ca="1" si="37"/>
        <v>3.5361555825881736</v>
      </c>
      <c r="N129" s="9"/>
      <c r="O129" s="9"/>
      <c r="P129" s="9"/>
      <c r="W129" s="330"/>
      <c r="X129" s="330"/>
      <c r="Y129" s="330"/>
      <c r="Z129" s="330"/>
      <c r="AA129" s="330"/>
      <c r="AB129" s="330"/>
      <c r="AC129" s="330"/>
      <c r="AD129" s="330"/>
      <c r="AE129" s="330"/>
      <c r="AF129" s="330"/>
    </row>
    <row r="130" spans="1:32" ht="14" outlineLevel="1" x14ac:dyDescent="0.15">
      <c r="A130" s="1214"/>
      <c r="B130" s="9" t="s">
        <v>390</v>
      </c>
      <c r="C130" s="67"/>
      <c r="D130" s="67"/>
      <c r="E130" s="82"/>
      <c r="G130" s="10">
        <f t="shared" ref="G130:M130" ca="1" si="38">G31/G30/G26*G129</f>
        <v>353.61555825881737</v>
      </c>
      <c r="H130" s="10">
        <f t="shared" ca="1" si="38"/>
        <v>353.61555825881737</v>
      </c>
      <c r="I130" s="10">
        <f t="shared" ca="1" si="38"/>
        <v>353.61555825881737</v>
      </c>
      <c r="J130" s="10">
        <f t="shared" ca="1" si="38"/>
        <v>353.61555825881737</v>
      </c>
      <c r="K130" s="10">
        <f t="shared" ca="1" si="38"/>
        <v>353.61555825881737</v>
      </c>
      <c r="L130" s="10">
        <f t="shared" ca="1" si="38"/>
        <v>353.61555825881737</v>
      </c>
      <c r="M130" s="10">
        <f t="shared" ca="1" si="38"/>
        <v>353.61555825881737</v>
      </c>
      <c r="N130" s="9"/>
      <c r="O130" s="9"/>
      <c r="P130" s="9"/>
      <c r="W130" s="330"/>
      <c r="X130" s="330"/>
      <c r="Y130" s="330"/>
      <c r="Z130" s="330"/>
      <c r="AA130" s="330"/>
      <c r="AB130" s="330"/>
      <c r="AC130" s="330"/>
      <c r="AD130" s="330"/>
      <c r="AE130" s="330"/>
      <c r="AF130" s="330"/>
    </row>
    <row r="131" spans="1:32" ht="15" outlineLevel="1" x14ac:dyDescent="0.2">
      <c r="A131" s="1214"/>
      <c r="B131" s="9" t="s">
        <v>391</v>
      </c>
      <c r="C131" s="67"/>
      <c r="D131" s="67"/>
      <c r="E131" s="82"/>
      <c r="G131" s="10">
        <f t="shared" ref="G131:M131" ca="1" si="39" xml:space="preserve"> FORECAST(G128,OFFSET(_ASI_2s,MATCH(G128,_SOC_percentages,1)-1,0,2),OFFSET(_SOC_percentages,MATCH(G128,_SOC_percentages,1)-1,0,2))</f>
        <v>13.555160516638725</v>
      </c>
      <c r="H131" s="10">
        <f t="shared" ca="1" si="39"/>
        <v>13.555160516638725</v>
      </c>
      <c r="I131" s="10">
        <f t="shared" ca="1" si="39"/>
        <v>13.555160516638725</v>
      </c>
      <c r="J131" s="10">
        <f t="shared" ca="1" si="39"/>
        <v>13.555160516638725</v>
      </c>
      <c r="K131" s="10">
        <f t="shared" ca="1" si="39"/>
        <v>13.555160516638725</v>
      </c>
      <c r="L131" s="10">
        <f t="shared" ca="1" si="39"/>
        <v>13.555160516638725</v>
      </c>
      <c r="M131" s="10">
        <f t="shared" ca="1" si="39"/>
        <v>13.555160516638725</v>
      </c>
      <c r="N131" s="9"/>
      <c r="O131" s="9"/>
      <c r="P131" s="9"/>
      <c r="W131" s="330"/>
      <c r="X131" s="330"/>
      <c r="Y131" s="330"/>
      <c r="Z131" s="330"/>
      <c r="AA131" s="330"/>
      <c r="AB131" s="330"/>
      <c r="AC131" s="330"/>
      <c r="AD131" s="330"/>
      <c r="AE131" s="330"/>
      <c r="AF131" s="330"/>
    </row>
    <row r="132" spans="1:32" ht="15" outlineLevel="1" x14ac:dyDescent="0.2">
      <c r="A132" s="1214"/>
      <c r="B132" s="9" t="s">
        <v>392</v>
      </c>
      <c r="C132" s="67"/>
      <c r="D132" s="67"/>
      <c r="E132" s="82"/>
      <c r="G132" s="10">
        <f t="shared" ref="G132:M132" ca="1" si="40" xml:space="preserve"> FORECAST(G128,OFFSET(_ASI_10s,MATCH(G128,_SOC_percentages,1)-1,0,2),OFFSET(_SOC_percentages,MATCH(G128,_SOC_percentages,1)-1,0,2))</f>
        <v>20.956602523550849</v>
      </c>
      <c r="H132" s="10">
        <f t="shared" ca="1" si="40"/>
        <v>20.956602523550849</v>
      </c>
      <c r="I132" s="10">
        <f t="shared" ca="1" si="40"/>
        <v>20.956602523550849</v>
      </c>
      <c r="J132" s="10">
        <f t="shared" ca="1" si="40"/>
        <v>20.956602523550849</v>
      </c>
      <c r="K132" s="10">
        <f t="shared" ca="1" si="40"/>
        <v>20.956602523550849</v>
      </c>
      <c r="L132" s="10">
        <f t="shared" ca="1" si="40"/>
        <v>20.956602523550849</v>
      </c>
      <c r="M132" s="10">
        <f t="shared" ca="1" si="40"/>
        <v>20.956602523550849</v>
      </c>
      <c r="N132" s="9"/>
      <c r="O132" s="9"/>
      <c r="P132" s="9"/>
      <c r="W132" s="330"/>
      <c r="X132" s="330"/>
      <c r="Y132" s="330"/>
      <c r="Z132" s="330"/>
      <c r="AA132" s="330"/>
      <c r="AB132" s="330"/>
      <c r="AC132" s="330"/>
      <c r="AD132" s="330"/>
      <c r="AE132" s="330"/>
      <c r="AF132" s="330"/>
    </row>
    <row r="133" spans="1:32" ht="15" outlineLevel="1" x14ac:dyDescent="0.2">
      <c r="A133" s="1214"/>
      <c r="B133" s="9" t="s">
        <v>393</v>
      </c>
      <c r="C133" s="67"/>
      <c r="D133" s="67"/>
      <c r="E133" s="82"/>
      <c r="G133" s="10">
        <f t="shared" ref="G133:M133" ca="1" si="41">G132*G116</f>
        <v>17.159384328549038</v>
      </c>
      <c r="H133" s="10">
        <f t="shared" ca="1" si="41"/>
        <v>17.159384328549038</v>
      </c>
      <c r="I133" s="10">
        <f t="shared" ca="1" si="41"/>
        <v>17.159384328549038</v>
      </c>
      <c r="J133" s="10">
        <f t="shared" ca="1" si="41"/>
        <v>17.159384328549038</v>
      </c>
      <c r="K133" s="10">
        <f t="shared" ca="1" si="41"/>
        <v>17.159384328549038</v>
      </c>
      <c r="L133" s="10">
        <f t="shared" ca="1" si="41"/>
        <v>17.159384328549038</v>
      </c>
      <c r="M133" s="10">
        <f t="shared" ca="1" si="41"/>
        <v>17.159384328549038</v>
      </c>
      <c r="N133" s="9"/>
      <c r="O133" s="9"/>
      <c r="P133" s="9"/>
      <c r="W133" s="330"/>
      <c r="X133" s="330"/>
      <c r="Y133" s="330"/>
      <c r="Z133" s="330"/>
      <c r="AA133" s="330"/>
      <c r="AB133" s="330"/>
      <c r="AC133" s="330"/>
      <c r="AD133" s="330"/>
      <c r="AE133" s="330"/>
      <c r="AF133" s="330"/>
    </row>
    <row r="134" spans="1:32" outlineLevel="1" x14ac:dyDescent="0.15">
      <c r="A134" s="1214"/>
      <c r="N134" s="9"/>
      <c r="O134" s="9"/>
      <c r="P134" s="9"/>
      <c r="W134" s="330"/>
      <c r="X134" s="330"/>
      <c r="Y134" s="330"/>
      <c r="Z134" s="330"/>
      <c r="AA134" s="330"/>
      <c r="AB134" s="330"/>
      <c r="AC134" s="330"/>
      <c r="AD134" s="330"/>
      <c r="AE134" s="330"/>
      <c r="AF134" s="330"/>
    </row>
    <row r="135" spans="1:32" ht="16" outlineLevel="1" x14ac:dyDescent="0.2">
      <c r="A135" s="1214"/>
      <c r="B135" s="463" t="s">
        <v>394</v>
      </c>
      <c r="C135" s="67"/>
      <c r="D135" s="67"/>
      <c r="E135" s="82"/>
      <c r="G135" s="10"/>
      <c r="H135" s="10"/>
      <c r="I135" s="10"/>
      <c r="J135" s="10"/>
      <c r="K135" s="10"/>
      <c r="L135" s="10"/>
      <c r="M135" s="10"/>
      <c r="N135" s="9"/>
      <c r="O135" s="9"/>
      <c r="P135" s="9"/>
      <c r="W135" s="330"/>
      <c r="X135" s="330"/>
      <c r="Y135" s="330"/>
      <c r="Z135" s="330"/>
      <c r="AA135" s="330"/>
      <c r="AB135" s="330"/>
      <c r="AC135" s="330"/>
      <c r="AD135" s="330"/>
      <c r="AE135" s="330"/>
      <c r="AF135" s="330"/>
    </row>
    <row r="136" spans="1:32" ht="14" outlineLevel="1" x14ac:dyDescent="0.15">
      <c r="A136" s="1214"/>
      <c r="B136" s="9" t="s">
        <v>395</v>
      </c>
      <c r="C136" s="67"/>
      <c r="D136" s="67"/>
      <c r="E136" s="82"/>
      <c r="G136" s="175">
        <f>Dashboard!D44</f>
        <v>10</v>
      </c>
      <c r="H136" s="175">
        <f>Dashboard!E44</f>
        <v>10</v>
      </c>
      <c r="I136" s="175">
        <f>Dashboard!F44</f>
        <v>10</v>
      </c>
      <c r="J136" s="175">
        <f>Dashboard!G44</f>
        <v>10</v>
      </c>
      <c r="K136" s="175">
        <f>Dashboard!H44</f>
        <v>10</v>
      </c>
      <c r="L136" s="175">
        <f>Dashboard!I44</f>
        <v>10</v>
      </c>
      <c r="M136" s="175">
        <f>Dashboard!J44</f>
        <v>10</v>
      </c>
      <c r="N136" s="9"/>
      <c r="O136" s="9"/>
      <c r="P136" s="9"/>
      <c r="W136" s="330"/>
      <c r="X136" s="330"/>
      <c r="Y136" s="330"/>
      <c r="Z136" s="330"/>
      <c r="AA136" s="330"/>
      <c r="AB136" s="330"/>
      <c r="AC136" s="330"/>
      <c r="AD136" s="330"/>
      <c r="AE136" s="330"/>
      <c r="AF136" s="330"/>
    </row>
    <row r="137" spans="1:32" ht="14" outlineLevel="1" x14ac:dyDescent="0.15">
      <c r="A137" s="1214"/>
      <c r="B137" s="9"/>
      <c r="C137" s="67"/>
      <c r="D137" s="67"/>
      <c r="E137" s="82"/>
      <c r="G137" s="11"/>
      <c r="H137" s="11"/>
      <c r="I137" s="11"/>
      <c r="J137" s="11"/>
      <c r="K137" s="11"/>
      <c r="L137" s="11"/>
      <c r="M137" s="11"/>
      <c r="N137" s="9"/>
      <c r="O137" s="9"/>
      <c r="P137" s="9"/>
      <c r="W137" s="330"/>
      <c r="X137" s="330"/>
      <c r="Y137" s="330"/>
      <c r="Z137" s="330"/>
      <c r="AA137" s="330"/>
      <c r="AB137" s="330"/>
      <c r="AC137" s="330"/>
      <c r="AD137" s="330"/>
      <c r="AE137" s="330"/>
      <c r="AF137" s="330"/>
    </row>
    <row r="138" spans="1:32" ht="14" outlineLevel="1" x14ac:dyDescent="0.15">
      <c r="A138" s="1214"/>
      <c r="B138" s="506" t="s">
        <v>396</v>
      </c>
      <c r="C138" s="67"/>
      <c r="D138" s="67"/>
      <c r="E138" s="82"/>
      <c r="G138" s="11"/>
      <c r="H138" s="11"/>
      <c r="I138" s="11"/>
      <c r="J138" s="11"/>
      <c r="K138" s="11"/>
      <c r="L138" s="11"/>
      <c r="M138" s="11"/>
      <c r="N138" s="9"/>
      <c r="O138" s="9"/>
      <c r="P138" s="9"/>
      <c r="W138" s="330"/>
      <c r="X138" s="330"/>
      <c r="Y138" s="330"/>
      <c r="Z138" s="330"/>
      <c r="AA138" s="330"/>
      <c r="AB138" s="330"/>
      <c r="AC138" s="330"/>
      <c r="AD138" s="330"/>
      <c r="AE138" s="330"/>
      <c r="AF138" s="330"/>
    </row>
    <row r="139" spans="1:32" ht="14" outlineLevel="1" x14ac:dyDescent="0.15">
      <c r="A139" s="1214"/>
      <c r="B139" s="9" t="s">
        <v>397</v>
      </c>
      <c r="C139" s="67"/>
      <c r="D139" s="67"/>
      <c r="E139" s="82"/>
      <c r="G139" s="175">
        <f>Dashboard!D46</f>
        <v>20</v>
      </c>
      <c r="H139" s="175">
        <f>Dashboard!E46</f>
        <v>20</v>
      </c>
      <c r="I139" s="175">
        <f>Dashboard!F46</f>
        <v>20</v>
      </c>
      <c r="J139" s="175">
        <f>Dashboard!G46</f>
        <v>20</v>
      </c>
      <c r="K139" s="175">
        <f>Dashboard!H46</f>
        <v>20</v>
      </c>
      <c r="L139" s="175">
        <f>Dashboard!I46</f>
        <v>20</v>
      </c>
      <c r="M139" s="175">
        <f>Dashboard!J46</f>
        <v>20</v>
      </c>
      <c r="N139" s="9"/>
      <c r="O139" s="9"/>
      <c r="P139" s="9"/>
      <c r="W139" s="330"/>
      <c r="X139" s="330"/>
      <c r="Y139" s="330"/>
      <c r="Z139" s="330"/>
      <c r="AA139" s="330"/>
      <c r="AB139" s="330"/>
      <c r="AC139" s="330"/>
      <c r="AD139" s="330"/>
      <c r="AE139" s="330"/>
      <c r="AF139" s="330"/>
    </row>
    <row r="140" spans="1:32" outlineLevel="1" x14ac:dyDescent="0.15">
      <c r="A140" s="1214"/>
      <c r="B140" s="8" t="s">
        <v>398</v>
      </c>
      <c r="F140" s="46"/>
      <c r="G140" s="10">
        <f ca="1">IF(Restart__0_1 = 0, Chem!$C$97, FORECAST(G139,OFFSET(_OCV_array,MATCH(G139,_SOC_percentages,1)-1,0,2),OFFSET(_SOC_percentages,MATCH(G139,_SOC_percentages,1)-1,0,2)))</f>
        <v>3.6031981471818249</v>
      </c>
      <c r="H140" s="10">
        <f ca="1">IF(Restart__0_1 = 0, Chem!$C$97, FORECAST(H139,OFFSET(_OCV_array,MATCH(H139,_SOC_percentages,1)-1,0,2),OFFSET(_SOC_percentages,MATCH(H139,_SOC_percentages,1)-1,0,2)))</f>
        <v>3.6031981471818249</v>
      </c>
      <c r="I140" s="10">
        <f ca="1">IF(Restart__0_1 = 0, Chem!$C$97, FORECAST(I139,OFFSET(_OCV_array,MATCH(I139,_SOC_percentages,1)-1,0,2),OFFSET(_SOC_percentages,MATCH(I139,_SOC_percentages,1)-1,0,2)))</f>
        <v>3.6031981471818249</v>
      </c>
      <c r="J140" s="10">
        <f ca="1">IF(Restart__0_1 = 0, Chem!$C$97, FORECAST(J139,OFFSET(_OCV_array,MATCH(J139,_SOC_percentages,1)-1,0,2),OFFSET(_SOC_percentages,MATCH(J139,_SOC_percentages,1)-1,0,2)))</f>
        <v>3.6031981471818249</v>
      </c>
      <c r="K140" s="10">
        <f ca="1">IF(Restart__0_1 = 0, Chem!$C$97, FORECAST(K139,OFFSET(_OCV_array,MATCH(K139,_SOC_percentages,1)-1,0,2),OFFSET(_SOC_percentages,MATCH(K139,_SOC_percentages,1)-1,0,2)))</f>
        <v>3.6031981471818249</v>
      </c>
      <c r="L140" s="10">
        <f ca="1">IF(Restart__0_1 = 0, Chem!$C$97, FORECAST(L139,OFFSET(_OCV_array,MATCH(L139,_SOC_percentages,1)-1,0,2),OFFSET(_SOC_percentages,MATCH(L139,_SOC_percentages,1)-1,0,2)))</f>
        <v>3.6031981471818249</v>
      </c>
      <c r="M140" s="10">
        <f ca="1">IF(Restart__0_1 = 0, Chem!$C$97, FORECAST(M139,OFFSET(_OCV_array,MATCH(M139,_SOC_percentages,1)-1,0,2),OFFSET(_SOC_percentages,MATCH(M139,_SOC_percentages,1)-1,0,2)))</f>
        <v>3.6031981471818249</v>
      </c>
      <c r="N140" s="9"/>
      <c r="O140" s="9"/>
      <c r="P140" s="9"/>
      <c r="W140" s="330"/>
      <c r="X140" s="330"/>
      <c r="Y140" s="330"/>
      <c r="Z140" s="330"/>
      <c r="AA140" s="330"/>
      <c r="AB140" s="330"/>
      <c r="AC140" s="330"/>
      <c r="AD140" s="330"/>
      <c r="AE140" s="330"/>
      <c r="AF140" s="330"/>
    </row>
    <row r="141" spans="1:32" ht="14" outlineLevel="1" x14ac:dyDescent="0.2">
      <c r="A141" s="1214"/>
      <c r="B141" s="9" t="s">
        <v>399</v>
      </c>
      <c r="F141" s="46"/>
      <c r="G141" s="10">
        <f t="shared" ref="G141:M141" ca="1" si="42" xml:space="preserve"> FORECAST(G139,OFFSET(_ASI_2s,MATCH(G139,_SOC_percentages,1)-1,0,2),OFFSET(_SOC_percentages,MATCH(G139,_SOC_percentages,1)-1,0,2))</f>
        <v>9.0367736777591503</v>
      </c>
      <c r="H141" s="10">
        <f t="shared" ca="1" si="42"/>
        <v>9.0367736777591503</v>
      </c>
      <c r="I141" s="10">
        <f t="shared" ca="1" si="42"/>
        <v>9.0367736777591503</v>
      </c>
      <c r="J141" s="10">
        <f t="shared" ca="1" si="42"/>
        <v>9.0367736777591503</v>
      </c>
      <c r="K141" s="10">
        <f t="shared" ca="1" si="42"/>
        <v>9.0367736777591503</v>
      </c>
      <c r="L141" s="10">
        <f t="shared" ca="1" si="42"/>
        <v>9.0367736777591503</v>
      </c>
      <c r="M141" s="10">
        <f t="shared" ca="1" si="42"/>
        <v>9.0367736777591503</v>
      </c>
      <c r="N141" s="9"/>
      <c r="O141" s="9"/>
      <c r="P141" s="9"/>
      <c r="W141" s="330"/>
      <c r="X141" s="330"/>
      <c r="Y141" s="330"/>
      <c r="Z141" s="330"/>
      <c r="AA141" s="330"/>
      <c r="AB141" s="330"/>
      <c r="AC141" s="330"/>
      <c r="AD141" s="330"/>
      <c r="AE141" s="330"/>
      <c r="AF141" s="330"/>
    </row>
    <row r="142" spans="1:32" ht="14" outlineLevel="1" x14ac:dyDescent="0.2">
      <c r="A142" s="1214"/>
      <c r="B142" s="9" t="s">
        <v>400</v>
      </c>
      <c r="F142" s="46"/>
      <c r="G142" s="15">
        <f t="shared" ref="G142:M142" ca="1" si="43" xml:space="preserve"> FORECAST(G139,OFFSET(_ASI_10s,MATCH(G139,_SOC_percentages,1)-1,0,2),OFFSET(_SOC_percentages,MATCH(G139,_SOC_percentages,1)-1,0,2))</f>
        <v>13.971068349033899</v>
      </c>
      <c r="H142" s="15">
        <f t="shared" ca="1" si="43"/>
        <v>13.971068349033899</v>
      </c>
      <c r="I142" s="15">
        <f t="shared" ca="1" si="43"/>
        <v>13.971068349033899</v>
      </c>
      <c r="J142" s="15">
        <f t="shared" ca="1" si="43"/>
        <v>13.971068349033899</v>
      </c>
      <c r="K142" s="15">
        <f t="shared" ca="1" si="43"/>
        <v>13.971068349033899</v>
      </c>
      <c r="L142" s="15">
        <f t="shared" ca="1" si="43"/>
        <v>13.971068349033899</v>
      </c>
      <c r="M142" s="15">
        <f t="shared" ca="1" si="43"/>
        <v>13.971068349033899</v>
      </c>
      <c r="N142" s="9"/>
      <c r="O142" s="9"/>
      <c r="P142" s="9"/>
      <c r="W142" s="330"/>
      <c r="X142" s="330"/>
      <c r="Y142" s="330"/>
      <c r="Z142" s="330"/>
      <c r="AA142" s="330"/>
      <c r="AB142" s="330"/>
      <c r="AC142" s="330"/>
      <c r="AD142" s="330"/>
      <c r="AE142" s="330"/>
      <c r="AF142" s="330"/>
    </row>
    <row r="143" spans="1:32" outlineLevel="1" x14ac:dyDescent="0.15">
      <c r="A143" s="1214"/>
      <c r="B143" s="9"/>
      <c r="F143" s="46"/>
      <c r="G143" s="15"/>
      <c r="H143" s="15"/>
      <c r="I143" s="15"/>
      <c r="J143" s="15"/>
      <c r="K143" s="15"/>
      <c r="L143" s="15"/>
      <c r="M143" s="15"/>
      <c r="N143" s="9"/>
      <c r="O143" s="9"/>
      <c r="P143" s="9"/>
      <c r="W143" s="330"/>
      <c r="X143" s="330"/>
      <c r="Y143" s="330"/>
      <c r="Z143" s="330"/>
      <c r="AA143" s="330"/>
      <c r="AB143" s="330"/>
      <c r="AC143" s="330"/>
      <c r="AD143" s="330"/>
      <c r="AE143" s="330"/>
      <c r="AF143" s="330"/>
    </row>
    <row r="144" spans="1:32" ht="14" outlineLevel="1" x14ac:dyDescent="0.15">
      <c r="A144" s="1214"/>
      <c r="B144" s="506" t="s">
        <v>401</v>
      </c>
      <c r="F144" s="46"/>
      <c r="G144" s="15"/>
      <c r="H144" s="15"/>
      <c r="I144" s="15"/>
      <c r="J144" s="15"/>
      <c r="K144" s="15"/>
      <c r="L144" s="15"/>
      <c r="M144" s="15"/>
      <c r="N144" s="9"/>
      <c r="O144" s="9"/>
      <c r="P144" s="9"/>
      <c r="W144" s="330"/>
      <c r="X144" s="330"/>
      <c r="Y144" s="330"/>
      <c r="Z144" s="330"/>
      <c r="AA144" s="330"/>
      <c r="AB144" s="330"/>
      <c r="AC144" s="330"/>
      <c r="AD144" s="330"/>
      <c r="AE144" s="330"/>
      <c r="AF144" s="330"/>
    </row>
    <row r="145" spans="1:32" outlineLevel="1" x14ac:dyDescent="0.15">
      <c r="A145" s="1214"/>
      <c r="B145" s="9" t="s">
        <v>402</v>
      </c>
      <c r="F145" s="46"/>
      <c r="G145" s="15">
        <f t="shared" ref="G145:M145" ca="1" si="44">G139-G22/G130*1000*G136/3600/G477*100</f>
        <v>19.126955818619258</v>
      </c>
      <c r="H145" s="15">
        <f t="shared" ca="1" si="44"/>
        <v>19.126955818619258</v>
      </c>
      <c r="I145" s="15">
        <f t="shared" ca="1" si="44"/>
        <v>19.126955818619258</v>
      </c>
      <c r="J145" s="15">
        <f t="shared" ca="1" si="44"/>
        <v>19.126955818619258</v>
      </c>
      <c r="K145" s="15">
        <f t="shared" ca="1" si="44"/>
        <v>19.126955818619258</v>
      </c>
      <c r="L145" s="15">
        <f t="shared" ca="1" si="44"/>
        <v>19.126955818619258</v>
      </c>
      <c r="M145" s="15">
        <f t="shared" ca="1" si="44"/>
        <v>19.126955818619258</v>
      </c>
      <c r="N145" s="9"/>
      <c r="O145" s="9"/>
      <c r="P145" s="9"/>
      <c r="W145" s="330"/>
      <c r="X145" s="330"/>
      <c r="Y145" s="330"/>
      <c r="Z145" s="330"/>
      <c r="AA145" s="330"/>
      <c r="AB145" s="330"/>
      <c r="AC145" s="330"/>
      <c r="AD145" s="330"/>
      <c r="AE145" s="330"/>
      <c r="AF145" s="330"/>
    </row>
    <row r="146" spans="1:32" outlineLevel="1" x14ac:dyDescent="0.15">
      <c r="A146" s="1214"/>
      <c r="B146" s="8" t="s">
        <v>398</v>
      </c>
      <c r="F146" s="46"/>
      <c r="G146" s="15">
        <f ca="1">IF(Restart__0_1 = 0, Chem!$C$97, FORECAST(G145,OFFSET(_OCV_array,MATCH(G145,_SOC_percentages,1)-1,0,2),OFFSET(_SOC_percentages,MATCH(G145,_SOC_percentages,1)-1,0,2)))</f>
        <v>3.597345035089492</v>
      </c>
      <c r="H146" s="15">
        <f ca="1">IF(Restart__0_1 = 0, Chem!$C$97, FORECAST(H145,OFFSET(_OCV_array,MATCH(H145,_SOC_percentages,1)-1,0,2),OFFSET(_SOC_percentages,MATCH(H145,_SOC_percentages,1)-1,0,2)))</f>
        <v>3.597345035089492</v>
      </c>
      <c r="I146" s="15">
        <f ca="1">IF(Restart__0_1 = 0, Chem!$C$97, FORECAST(I145,OFFSET(_OCV_array,MATCH(I145,_SOC_percentages,1)-1,0,2),OFFSET(_SOC_percentages,MATCH(I145,_SOC_percentages,1)-1,0,2)))</f>
        <v>3.597345035089492</v>
      </c>
      <c r="J146" s="15">
        <f ca="1">IF(Restart__0_1 = 0, Chem!$C$97, FORECAST(J145,OFFSET(_OCV_array,MATCH(J145,_SOC_percentages,1)-1,0,2),OFFSET(_SOC_percentages,MATCH(J145,_SOC_percentages,1)-1,0,2)))</f>
        <v>3.597345035089492</v>
      </c>
      <c r="K146" s="15">
        <f ca="1">IF(Restart__0_1 = 0, Chem!$C$97, FORECAST(K145,OFFSET(_OCV_array,MATCH(K145,_SOC_percentages,1)-1,0,2),OFFSET(_SOC_percentages,MATCH(K145,_SOC_percentages,1)-1,0,2)))</f>
        <v>3.597345035089492</v>
      </c>
      <c r="L146" s="15">
        <f ca="1">IF(Restart__0_1 = 0, Chem!$C$97, FORECAST(L145,OFFSET(_OCV_array,MATCH(L145,_SOC_percentages,1)-1,0,2),OFFSET(_SOC_percentages,MATCH(L145,_SOC_percentages,1)-1,0,2)))</f>
        <v>3.597345035089492</v>
      </c>
      <c r="M146" s="15">
        <f ca="1">IF(Restart__0_1 = 0, Chem!$C$97, FORECAST(M145,OFFSET(_OCV_array,MATCH(M145,_SOC_percentages,1)-1,0,2),OFFSET(_SOC_percentages,MATCH(M145,_SOC_percentages,1)-1,0,2)))</f>
        <v>3.597345035089492</v>
      </c>
      <c r="N146" s="9"/>
      <c r="O146" s="9"/>
      <c r="P146" s="9"/>
      <c r="W146" s="330"/>
      <c r="X146" s="330"/>
      <c r="Y146" s="330"/>
      <c r="Z146" s="330"/>
      <c r="AA146" s="330"/>
      <c r="AB146" s="330"/>
      <c r="AC146" s="330"/>
      <c r="AD146" s="330"/>
      <c r="AE146" s="330"/>
      <c r="AF146" s="330"/>
    </row>
    <row r="147" spans="1:32" outlineLevel="1" x14ac:dyDescent="0.15">
      <c r="A147" s="1214"/>
      <c r="B147" s="9" t="s">
        <v>403</v>
      </c>
      <c r="F147" s="46"/>
      <c r="G147" s="15">
        <f t="shared" ref="G147:M147" ca="1" si="45" xml:space="preserve"> FORECAST(G145,OFFSET(_ASI_2s,MATCH(G145,_SOC_percentages,1)-1,0,2),OFFSET(_SOC_percentages,MATCH(G145,_SOC_percentages,1)-1,0,2))</f>
        <v>9.4312488116502635</v>
      </c>
      <c r="H147" s="15">
        <f t="shared" ca="1" si="45"/>
        <v>9.4312488116502635</v>
      </c>
      <c r="I147" s="15">
        <f t="shared" ca="1" si="45"/>
        <v>9.4312488116502635</v>
      </c>
      <c r="J147" s="15">
        <f t="shared" ca="1" si="45"/>
        <v>9.4312488116502635</v>
      </c>
      <c r="K147" s="15">
        <f t="shared" ca="1" si="45"/>
        <v>9.4312488116502635</v>
      </c>
      <c r="L147" s="15">
        <f t="shared" ca="1" si="45"/>
        <v>9.4312488116502635</v>
      </c>
      <c r="M147" s="15">
        <f t="shared" ca="1" si="45"/>
        <v>9.4312488116502635</v>
      </c>
      <c r="N147" s="9"/>
      <c r="O147" s="9"/>
      <c r="P147" s="9"/>
      <c r="W147" s="330"/>
      <c r="X147" s="330"/>
      <c r="Y147" s="330"/>
      <c r="Z147" s="330"/>
      <c r="AA147" s="330"/>
      <c r="AB147" s="330"/>
      <c r="AC147" s="330"/>
      <c r="AD147" s="330"/>
      <c r="AE147" s="330"/>
      <c r="AF147" s="330"/>
    </row>
    <row r="148" spans="1:32" outlineLevel="1" x14ac:dyDescent="0.15">
      <c r="A148" s="1214"/>
      <c r="B148" s="9" t="s">
        <v>404</v>
      </c>
      <c r="F148" s="46"/>
      <c r="G148" s="15">
        <f t="shared" ref="G148:M148" ca="1" si="46" xml:space="preserve"> FORECAST(G145,OFFSET(_ASI_10s,MATCH(G145,_SOC_percentages,1)-1,0,2),OFFSET(_SOC_percentages,MATCH(G145,_SOC_percentages,1)-1,0,2))</f>
        <v>14.580936345523734</v>
      </c>
      <c r="H148" s="15">
        <f t="shared" ca="1" si="46"/>
        <v>14.580936345523734</v>
      </c>
      <c r="I148" s="15">
        <f t="shared" ca="1" si="46"/>
        <v>14.580936345523734</v>
      </c>
      <c r="J148" s="15">
        <f t="shared" ca="1" si="46"/>
        <v>14.580936345523734</v>
      </c>
      <c r="K148" s="15">
        <f t="shared" ca="1" si="46"/>
        <v>14.580936345523734</v>
      </c>
      <c r="L148" s="15">
        <f t="shared" ca="1" si="46"/>
        <v>14.580936345523734</v>
      </c>
      <c r="M148" s="15">
        <f t="shared" ca="1" si="46"/>
        <v>14.580936345523734</v>
      </c>
      <c r="N148" s="9"/>
      <c r="O148" s="9"/>
      <c r="P148" s="9"/>
      <c r="W148" s="330"/>
      <c r="X148" s="330"/>
      <c r="Y148" s="330"/>
      <c r="Z148" s="330"/>
      <c r="AA148" s="330"/>
      <c r="AB148" s="330"/>
      <c r="AC148" s="330"/>
      <c r="AD148" s="330"/>
      <c r="AE148" s="330"/>
      <c r="AF148" s="330"/>
    </row>
    <row r="149" spans="1:32" outlineLevel="1" x14ac:dyDescent="0.15">
      <c r="A149" s="1214"/>
      <c r="B149" s="9"/>
      <c r="F149" s="46"/>
      <c r="G149" s="15"/>
      <c r="H149" s="15"/>
      <c r="I149" s="15"/>
      <c r="J149" s="15"/>
      <c r="K149" s="15"/>
      <c r="L149" s="15"/>
      <c r="M149" s="15"/>
      <c r="N149" s="9"/>
      <c r="O149" s="9"/>
      <c r="P149" s="9"/>
      <c r="W149" s="330"/>
      <c r="X149" s="330"/>
      <c r="Y149" s="330"/>
      <c r="Z149" s="330"/>
      <c r="AA149" s="330"/>
      <c r="AB149" s="330"/>
      <c r="AC149" s="330"/>
      <c r="AD149" s="330"/>
      <c r="AE149" s="330"/>
      <c r="AF149" s="330"/>
    </row>
    <row r="150" spans="1:32" outlineLevel="1" x14ac:dyDescent="0.15">
      <c r="A150" s="1214"/>
      <c r="B150" s="9" t="s">
        <v>405</v>
      </c>
      <c r="G150" s="15">
        <f ca="1">(((Chem!$C$142+Chem!$C$141)/SQRT(2)*0.5+(G142-G141+Chem!$C$142+Chem!$C$141)/SQRT(10)*0.4)*SQRT(G136)+G141-(Chem!$C$142+Chem!$C$141))+(G148-G142)</f>
        <v>13.276469894585084</v>
      </c>
      <c r="H150" s="15">
        <f ca="1">(((Chem!$C$142+Chem!$C$141)/SQRT(2)*0.5+(H142-H141+Chem!$C$142+Chem!$C$141)/SQRT(10)*0.4)*SQRT(H136)+H141-(Chem!$C$142+Chem!$C$141))+(H148-H142)</f>
        <v>13.276469894585084</v>
      </c>
      <c r="I150" s="15">
        <f ca="1">(((Chem!$C$142+Chem!$C$141)/SQRT(2)*0.5+(I142-I141+Chem!$C$142+Chem!$C$141)/SQRT(10)*0.4)*SQRT(I136)+I141-(Chem!$C$142+Chem!$C$141))+(I148-I142)</f>
        <v>13.276469894585084</v>
      </c>
      <c r="J150" s="15">
        <f ca="1">(((Chem!$C$142+Chem!$C$141)/SQRT(2)*0.5+(J142-J141+Chem!$C$142+Chem!$C$141)/SQRT(10)*0.4)*SQRT(J136)+J141-(Chem!$C$142+Chem!$C$141))+(J148-J142)</f>
        <v>13.276469894585084</v>
      </c>
      <c r="K150" s="15">
        <f ca="1">(((Chem!$C$142+Chem!$C$141)/SQRT(2)*0.5+(K142-K141+Chem!$C$142+Chem!$C$141)/SQRT(10)*0.4)*SQRT(K136)+K141-(Chem!$C$142+Chem!$C$141))+(K148-K142)</f>
        <v>13.276469894585084</v>
      </c>
      <c r="L150" s="15">
        <f ca="1">(((Chem!$C$142+Chem!$C$141)/SQRT(2)*0.5+(L142-L141+Chem!$C$142+Chem!$C$141)/SQRT(10)*0.4)*SQRT(L136)+L141-(Chem!$C$142+Chem!$C$141))+(L148-L142)</f>
        <v>13.276469894585084</v>
      </c>
      <c r="M150" s="15">
        <f ca="1">(((Chem!$C$142+Chem!$C$141)/SQRT(2)*0.5+(M142-M141+Chem!$C$142+Chem!$C$141)/SQRT(10)*0.4)*SQRT(M136)+M141-(Chem!$C$142+Chem!$C$141))+(M148-M142)</f>
        <v>13.276469894585084</v>
      </c>
      <c r="N150" s="9"/>
      <c r="O150" s="9"/>
      <c r="P150" s="9"/>
      <c r="W150" s="330"/>
      <c r="X150" s="330"/>
      <c r="Y150" s="330"/>
      <c r="Z150" s="330"/>
      <c r="AA150" s="330"/>
      <c r="AB150" s="330"/>
      <c r="AC150" s="330"/>
      <c r="AD150" s="330"/>
      <c r="AE150" s="330"/>
      <c r="AF150" s="330"/>
    </row>
    <row r="151" spans="1:32" ht="14" outlineLevel="1" x14ac:dyDescent="0.15">
      <c r="A151" s="1214"/>
      <c r="B151" s="9" t="s">
        <v>406</v>
      </c>
      <c r="C151" s="67"/>
      <c r="D151" s="67"/>
      <c r="E151" s="82"/>
      <c r="G151" s="15">
        <f ca="1">IF(Dashboard!$D$42 = "Yes", IF(G136 = 10, G142, IF(G136 = 2,G141, "Pulse value not implemented" )), G150)</f>
        <v>13.971068349033899</v>
      </c>
      <c r="H151" s="15">
        <f ca="1">IF(Dashboard!$D$42 = "Yes", IF(H136 = 10, H142, IF(H136 = 2,H141, "Pulse value not implemented" )), H150)</f>
        <v>13.971068349033899</v>
      </c>
      <c r="I151" s="15">
        <f ca="1">IF(Dashboard!$D$42 = "Yes", IF(I136 = 10, I142, IF(I136 = 2,I141, "Pulse value not implemented" )), I150)</f>
        <v>13.971068349033899</v>
      </c>
      <c r="J151" s="15">
        <f ca="1">IF(Dashboard!$D$42 = "Yes", IF(J136 = 10, J142, IF(J136 = 2,J141, "Pulse value not implemented" )), J150)</f>
        <v>13.971068349033899</v>
      </c>
      <c r="K151" s="15">
        <f ca="1">IF(Dashboard!$D$42 = "Yes", IF(K136 = 10, K142, IF(K136 = 2,K141, "Pulse value not implemented" )), K150)</f>
        <v>13.971068349033899</v>
      </c>
      <c r="L151" s="15">
        <f ca="1">IF(Dashboard!$D$42 = "Yes", IF(L136 = 10, L142, IF(L136 = 2,L141, "Pulse value not implemented" )), L150)</f>
        <v>13.971068349033899</v>
      </c>
      <c r="M151" s="15">
        <f ca="1">IF(Dashboard!$D$42 = "Yes", IF(M136 = 10, M142, IF(M136 = 2,M141, "Pulse value not implemented" )), M150)</f>
        <v>13.971068349033899</v>
      </c>
      <c r="N151" s="9"/>
      <c r="O151" s="9"/>
      <c r="P151" s="9"/>
      <c r="W151" s="330"/>
      <c r="X151" s="330"/>
      <c r="Y151" s="330"/>
      <c r="Z151" s="330"/>
      <c r="AA151" s="330"/>
      <c r="AB151" s="330"/>
      <c r="AC151" s="330"/>
      <c r="AD151" s="330"/>
      <c r="AE151" s="330"/>
      <c r="AF151" s="330"/>
    </row>
    <row r="152" spans="1:32" ht="14" outlineLevel="1" x14ac:dyDescent="0.15">
      <c r="A152" s="1214"/>
      <c r="B152" s="9"/>
      <c r="C152" s="67"/>
      <c r="D152" s="67"/>
      <c r="E152" s="82"/>
      <c r="G152" s="11"/>
      <c r="H152" s="11"/>
      <c r="I152" s="11"/>
      <c r="J152" s="11"/>
      <c r="K152" s="11"/>
      <c r="L152" s="11"/>
      <c r="M152" s="11"/>
      <c r="N152" s="9"/>
      <c r="O152" s="9"/>
      <c r="P152" s="9"/>
      <c r="W152" s="330"/>
      <c r="X152" s="330"/>
      <c r="Y152" s="330"/>
      <c r="Z152" s="330"/>
      <c r="AA152" s="330"/>
      <c r="AB152" s="330"/>
      <c r="AC152" s="330"/>
      <c r="AD152" s="330"/>
      <c r="AE152" s="330"/>
      <c r="AF152" s="330"/>
    </row>
    <row r="153" spans="1:32" ht="16" outlineLevel="1" x14ac:dyDescent="0.2">
      <c r="A153" s="1214"/>
      <c r="B153" s="463" t="s">
        <v>407</v>
      </c>
      <c r="F153" s="46"/>
      <c r="G153" s="10"/>
      <c r="H153" s="10"/>
      <c r="I153" s="10"/>
      <c r="J153" s="10"/>
      <c r="K153" s="10"/>
      <c r="L153" s="10"/>
      <c r="M153" s="10"/>
      <c r="N153" s="679"/>
      <c r="O153" s="9"/>
      <c r="P153" s="9"/>
      <c r="W153" s="330"/>
      <c r="X153" s="330"/>
      <c r="Y153" s="330"/>
      <c r="Z153" s="330"/>
      <c r="AA153" s="330"/>
      <c r="AB153" s="330"/>
      <c r="AC153" s="330"/>
      <c r="AD153" s="330"/>
      <c r="AE153" s="330"/>
      <c r="AF153" s="330"/>
    </row>
    <row r="154" spans="1:32" outlineLevel="1" x14ac:dyDescent="0.15">
      <c r="A154" s="1214"/>
      <c r="B154" s="9" t="s">
        <v>408</v>
      </c>
      <c r="F154" s="46"/>
      <c r="G154" s="175">
        <f>'Vehicle Considerations'!$B$17</f>
        <v>50</v>
      </c>
      <c r="H154" s="175">
        <f>'Vehicle Considerations'!$B$17</f>
        <v>50</v>
      </c>
      <c r="I154" s="175">
        <f>'Vehicle Considerations'!$B$17</f>
        <v>50</v>
      </c>
      <c r="J154" s="175">
        <f>'Vehicle Considerations'!$B$17</f>
        <v>50</v>
      </c>
      <c r="K154" s="175">
        <f>'Vehicle Considerations'!$B$17</f>
        <v>50</v>
      </c>
      <c r="L154" s="175">
        <f>'Vehicle Considerations'!$B$17</f>
        <v>50</v>
      </c>
      <c r="M154" s="175">
        <f>'Vehicle Considerations'!$B$17</f>
        <v>50</v>
      </c>
      <c r="N154" s="9"/>
      <c r="O154" s="9"/>
      <c r="P154" s="9"/>
      <c r="W154" s="330"/>
      <c r="X154" s="330"/>
      <c r="Y154" s="330"/>
      <c r="Z154" s="330"/>
      <c r="AA154" s="330"/>
      <c r="AB154" s="330"/>
      <c r="AC154" s="330"/>
      <c r="AD154" s="330"/>
      <c r="AE154" s="330"/>
      <c r="AF154" s="330"/>
    </row>
    <row r="155" spans="1:32" outlineLevel="1" x14ac:dyDescent="0.15">
      <c r="A155" s="1214"/>
      <c r="B155" s="9" t="s">
        <v>409</v>
      </c>
      <c r="F155" s="46"/>
      <c r="G155" s="10">
        <f ca="1">IF(Restart__0_1 = 0, Chem!$C$97, FORECAST(G154,OFFSET(_OCV_array,MATCH(G154,_SOC_percentages,1)-1,0,2),OFFSET(_SOC_percentages,MATCH(G154,_SOC_percentages,1)-1,0,2)))</f>
        <v>3.7046640670027604</v>
      </c>
      <c r="H155" s="10">
        <f ca="1">IF(Restart__0_1 = 0, Chem!$C$97, FORECAST(H154,OFFSET(_OCV_array,MATCH(H154,_SOC_percentages,1)-1,0,2),OFFSET(_SOC_percentages,MATCH(H154,_SOC_percentages,1)-1,0,2)))</f>
        <v>3.7046640670027604</v>
      </c>
      <c r="I155" s="10">
        <f ca="1">IF(Restart__0_1 = 0, Chem!$C$97, FORECAST(I154,OFFSET(_OCV_array,MATCH(I154,_SOC_percentages,1)-1,0,2),OFFSET(_SOC_percentages,MATCH(I154,_SOC_percentages,1)-1,0,2)))</f>
        <v>3.7046640670027604</v>
      </c>
      <c r="J155" s="10">
        <f ca="1">IF(Restart__0_1 = 0, Chem!$C$97, FORECAST(J154,OFFSET(_OCV_array,MATCH(J154,_SOC_percentages,1)-1,0,2),OFFSET(_SOC_percentages,MATCH(J154,_SOC_percentages,1)-1,0,2)))</f>
        <v>3.7046640670027604</v>
      </c>
      <c r="K155" s="10">
        <f ca="1">IF(Restart__0_1 = 0, Chem!$C$97, FORECAST(K154,OFFSET(_OCV_array,MATCH(K154,_SOC_percentages,1)-1,0,2),OFFSET(_SOC_percentages,MATCH(K154,_SOC_percentages,1)-1,0,2)))</f>
        <v>3.7046640670027604</v>
      </c>
      <c r="L155" s="10">
        <f ca="1">IF(Restart__0_1 = 0, Chem!$C$97, FORECAST(L154,OFFSET(_OCV_array,MATCH(L154,_SOC_percentages,1)-1,0,2),OFFSET(_SOC_percentages,MATCH(L154,_SOC_percentages,1)-1,0,2)))</f>
        <v>3.7046640670027604</v>
      </c>
      <c r="M155" s="10">
        <f ca="1">IF(Restart__0_1 = 0, Chem!$C$97, FORECAST(M154,OFFSET(_OCV_array,MATCH(M154,_SOC_percentages,1)-1,0,2),OFFSET(_SOC_percentages,MATCH(M154,_SOC_percentages,1)-1,0,2)))</f>
        <v>3.7046640670027604</v>
      </c>
      <c r="N155" s="9"/>
      <c r="O155" s="9"/>
      <c r="P155" s="9"/>
      <c r="W155" s="330"/>
      <c r="X155" s="330"/>
      <c r="Y155" s="330"/>
      <c r="Z155" s="330"/>
      <c r="AA155" s="330"/>
      <c r="AB155" s="330"/>
      <c r="AC155" s="330"/>
      <c r="AD155" s="330"/>
      <c r="AE155" s="330"/>
      <c r="AF155" s="330"/>
    </row>
    <row r="156" spans="1:32" ht="14" outlineLevel="1" x14ac:dyDescent="0.2">
      <c r="A156" s="1214"/>
      <c r="B156" s="9" t="s">
        <v>410</v>
      </c>
      <c r="F156" s="46"/>
      <c r="G156" s="15">
        <f ca="1" xml:space="preserve"> FORECAST(G154,OFFSET(_ASI_2s,MATCH(G154,_SOC_percentages,1)-1,0,2),OFFSET(_SOC_percentages,MATCH(G154,_SOC_percentages,1)-1,0,2))</f>
        <v>7.0864482998678602</v>
      </c>
      <c r="H156" s="15">
        <f t="shared" ref="H156:M156" ca="1" si="47" xml:space="preserve"> FORECAST(H154,OFFSET(_ASI_2s,MATCH(H154,_SOC_percentages,1)-1,0,2),OFFSET(_SOC_percentages,MATCH(H154,_SOC_percentages,1)-1,0,2))</f>
        <v>7.0864482998678602</v>
      </c>
      <c r="I156" s="15">
        <f t="shared" ca="1" si="47"/>
        <v>7.0864482998678602</v>
      </c>
      <c r="J156" s="15">
        <f t="shared" ca="1" si="47"/>
        <v>7.0864482998678602</v>
      </c>
      <c r="K156" s="15">
        <f t="shared" ca="1" si="47"/>
        <v>7.0864482998678602</v>
      </c>
      <c r="L156" s="15">
        <f t="shared" ca="1" si="47"/>
        <v>7.0864482998678602</v>
      </c>
      <c r="M156" s="15">
        <f t="shared" ca="1" si="47"/>
        <v>7.0864482998678602</v>
      </c>
      <c r="N156" s="9"/>
      <c r="O156" s="9"/>
      <c r="P156" s="9"/>
      <c r="W156" s="330"/>
      <c r="X156" s="330"/>
      <c r="Y156" s="330"/>
      <c r="Z156" s="330"/>
      <c r="AA156" s="330"/>
      <c r="AB156" s="330"/>
      <c r="AC156" s="330"/>
      <c r="AD156" s="330"/>
      <c r="AE156" s="330"/>
      <c r="AF156" s="330"/>
    </row>
    <row r="157" spans="1:32" outlineLevel="1" x14ac:dyDescent="0.15">
      <c r="A157" s="1214"/>
      <c r="B157" s="9" t="s">
        <v>411</v>
      </c>
      <c r="F157" s="46"/>
      <c r="G157" s="15">
        <f t="shared" ref="G157:M157" ca="1" si="48" xml:space="preserve"> FORECAST(G154,OFFSET(_ASI_10s,MATCH(G154,_SOC_percentages,1)-1,0,2),OFFSET(_SOC_percentages,MATCH(G154,_SOC_percentages,1)-1,0,2))</f>
        <v>10.3993464211744</v>
      </c>
      <c r="H157" s="15">
        <f t="shared" ca="1" si="48"/>
        <v>10.3993464211744</v>
      </c>
      <c r="I157" s="15">
        <f t="shared" ca="1" si="48"/>
        <v>10.3993464211744</v>
      </c>
      <c r="J157" s="15">
        <f t="shared" ca="1" si="48"/>
        <v>10.3993464211744</v>
      </c>
      <c r="K157" s="15">
        <f t="shared" ca="1" si="48"/>
        <v>10.3993464211744</v>
      </c>
      <c r="L157" s="15">
        <f t="shared" ca="1" si="48"/>
        <v>10.3993464211744</v>
      </c>
      <c r="M157" s="15">
        <f t="shared" ca="1" si="48"/>
        <v>10.3993464211744</v>
      </c>
      <c r="N157" s="9"/>
      <c r="O157" s="9"/>
      <c r="P157" s="9"/>
      <c r="W157" s="330"/>
      <c r="X157" s="330"/>
      <c r="Y157" s="330"/>
      <c r="Z157" s="330"/>
      <c r="AA157" s="330"/>
      <c r="AB157" s="330"/>
      <c r="AC157" s="330"/>
      <c r="AD157" s="330"/>
      <c r="AE157" s="330"/>
      <c r="AF157" s="330"/>
    </row>
    <row r="158" spans="1:32" outlineLevel="1" x14ac:dyDescent="0.15">
      <c r="A158" s="1214"/>
      <c r="B158" s="9" t="s">
        <v>412</v>
      </c>
      <c r="F158" s="66"/>
      <c r="G158" s="66">
        <f t="shared" ref="G158:M158" ca="1" si="49">G157*1.3*G116</f>
        <v>11.069556544194166</v>
      </c>
      <c r="H158" s="66">
        <f t="shared" ca="1" si="49"/>
        <v>11.069556544194166</v>
      </c>
      <c r="I158" s="66">
        <f t="shared" ca="1" si="49"/>
        <v>11.069556544194166</v>
      </c>
      <c r="J158" s="66">
        <f t="shared" ca="1" si="49"/>
        <v>11.069556544194166</v>
      </c>
      <c r="K158" s="66">
        <f t="shared" ca="1" si="49"/>
        <v>11.069556544194166</v>
      </c>
      <c r="L158" s="66">
        <f t="shared" ca="1" si="49"/>
        <v>11.069556544194166</v>
      </c>
      <c r="M158" s="66">
        <f t="shared" ca="1" si="49"/>
        <v>11.069556544194166</v>
      </c>
      <c r="N158" s="9"/>
      <c r="O158" s="9"/>
      <c r="P158" s="9"/>
      <c r="W158" s="330"/>
      <c r="X158" s="330"/>
      <c r="Y158" s="330"/>
      <c r="Z158" s="330"/>
      <c r="AA158" s="330"/>
      <c r="AB158" s="330"/>
      <c r="AC158" s="330"/>
      <c r="AD158" s="330"/>
      <c r="AE158" s="330"/>
      <c r="AF158" s="330"/>
    </row>
    <row r="159" spans="1:32" ht="14" thickBot="1" x14ac:dyDescent="0.2">
      <c r="A159" s="1214"/>
      <c r="F159" s="89"/>
      <c r="G159" s="66"/>
      <c r="H159" s="66"/>
      <c r="I159" s="66"/>
      <c r="J159" s="66"/>
      <c r="K159" s="66"/>
      <c r="L159" s="66"/>
      <c r="M159" s="66"/>
      <c r="N159" s="9"/>
      <c r="O159" s="9"/>
      <c r="P159" s="9"/>
      <c r="W159" s="330"/>
      <c r="X159" s="330"/>
      <c r="Y159" s="330"/>
      <c r="Z159" s="330"/>
      <c r="AA159" s="330"/>
      <c r="AB159" s="330"/>
      <c r="AC159" s="330"/>
      <c r="AD159" s="330"/>
      <c r="AE159" s="330"/>
      <c r="AF159" s="330"/>
    </row>
    <row r="160" spans="1:32" ht="19" thickBot="1" x14ac:dyDescent="0.25">
      <c r="A160" s="1214"/>
      <c r="B160" s="1310" t="s">
        <v>413</v>
      </c>
      <c r="C160" s="1311"/>
      <c r="D160" s="1311"/>
      <c r="E160" s="1311"/>
      <c r="F160" s="1311"/>
      <c r="G160" s="1311"/>
      <c r="H160" s="1311"/>
      <c r="I160" s="1311"/>
      <c r="J160" s="1311"/>
      <c r="K160" s="1311"/>
      <c r="L160" s="1311"/>
      <c r="M160" s="1312"/>
      <c r="N160" s="15"/>
      <c r="O160" s="15"/>
    </row>
    <row r="161" spans="1:20" x14ac:dyDescent="0.15">
      <c r="A161" s="1214"/>
      <c r="F161" s="78"/>
      <c r="G161" s="386"/>
      <c r="H161" s="386"/>
      <c r="I161" s="386"/>
      <c r="J161" s="386"/>
      <c r="K161" s="386"/>
      <c r="L161" s="386"/>
      <c r="M161" s="386"/>
      <c r="N161" s="15"/>
      <c r="O161" s="15"/>
    </row>
    <row r="162" spans="1:20" outlineLevel="1" x14ac:dyDescent="0.15">
      <c r="A162" s="1214"/>
      <c r="F162" s="78"/>
      <c r="G162" s="386"/>
      <c r="H162" s="386"/>
      <c r="I162" s="386"/>
      <c r="J162" s="386"/>
      <c r="K162" s="386"/>
      <c r="L162" s="386"/>
      <c r="M162" s="386"/>
      <c r="N162" s="15"/>
      <c r="O162" s="15"/>
    </row>
    <row r="163" spans="1:20" ht="16" outlineLevel="1" x14ac:dyDescent="0.2">
      <c r="A163" s="1214"/>
      <c r="B163" s="5" t="s">
        <v>414</v>
      </c>
      <c r="D163" s="156"/>
      <c r="F163" s="46"/>
      <c r="G163" s="15"/>
      <c r="H163" s="15"/>
      <c r="I163" s="15"/>
      <c r="J163" s="15"/>
      <c r="K163" s="15"/>
      <c r="L163" s="15"/>
      <c r="M163" s="15"/>
      <c r="N163" s="15"/>
      <c r="O163" s="15"/>
    </row>
    <row r="164" spans="1:20" outlineLevel="1" x14ac:dyDescent="0.15">
      <c r="A164" s="1214"/>
      <c r="B164" s="8" t="s">
        <v>415</v>
      </c>
      <c r="D164" s="379"/>
      <c r="F164" s="46"/>
      <c r="G164" s="148">
        <f>1</f>
        <v>1</v>
      </c>
      <c r="H164" s="148">
        <f>1</f>
        <v>1</v>
      </c>
      <c r="I164" s="148">
        <f>1</f>
        <v>1</v>
      </c>
      <c r="J164" s="148">
        <f>1</f>
        <v>1</v>
      </c>
      <c r="K164" s="148">
        <f>1</f>
        <v>1</v>
      </c>
      <c r="L164" s="148">
        <f>1</f>
        <v>1</v>
      </c>
      <c r="M164" s="148">
        <f>1</f>
        <v>1</v>
      </c>
      <c r="N164" s="15"/>
      <c r="O164" s="15"/>
    </row>
    <row r="165" spans="1:20" ht="14" outlineLevel="1" x14ac:dyDescent="0.2">
      <c r="A165" s="1214"/>
      <c r="B165" s="8" t="s">
        <v>416</v>
      </c>
      <c r="D165" s="379"/>
      <c r="F165" s="46"/>
      <c r="G165" s="66">
        <f t="shared" ref="G165:M165" ca="1" si="50">G164/10*G97/10</f>
        <v>0.4</v>
      </c>
      <c r="H165" s="66">
        <f t="shared" ca="1" si="50"/>
        <v>0.4</v>
      </c>
      <c r="I165" s="66">
        <f t="shared" ca="1" si="50"/>
        <v>0.4</v>
      </c>
      <c r="J165" s="66">
        <f t="shared" ca="1" si="50"/>
        <v>0.4</v>
      </c>
      <c r="K165" s="66">
        <f t="shared" ca="1" si="50"/>
        <v>0.4</v>
      </c>
      <c r="L165" s="66">
        <f t="shared" ca="1" si="50"/>
        <v>0.4</v>
      </c>
      <c r="M165" s="66">
        <f t="shared" ca="1" si="50"/>
        <v>0.4</v>
      </c>
      <c r="N165" s="15"/>
      <c r="O165" s="15"/>
    </row>
    <row r="166" spans="1:20" outlineLevel="1" x14ac:dyDescent="0.15">
      <c r="A166" s="1214"/>
      <c r="B166" s="8" t="s">
        <v>417</v>
      </c>
      <c r="D166" s="379"/>
      <c r="F166" s="46"/>
      <c r="G166" s="15">
        <f t="shared" ref="G166:M166" ca="1" si="51">(G$86+G$92)/10</f>
        <v>2.8134127918567939</v>
      </c>
      <c r="H166" s="15">
        <f t="shared" ca="1" si="51"/>
        <v>2.8134127918567939</v>
      </c>
      <c r="I166" s="15">
        <f t="shared" ca="1" si="51"/>
        <v>2.8134127918567939</v>
      </c>
      <c r="J166" s="15">
        <f t="shared" ca="1" si="51"/>
        <v>2.8134127918567939</v>
      </c>
      <c r="K166" s="15">
        <f t="shared" ca="1" si="51"/>
        <v>2.8134127918567939</v>
      </c>
      <c r="L166" s="15">
        <f t="shared" ca="1" si="51"/>
        <v>2.8134127918567939</v>
      </c>
      <c r="M166" s="15">
        <f t="shared" ca="1" si="51"/>
        <v>2.8134127918567939</v>
      </c>
      <c r="N166" s="15"/>
      <c r="O166" s="15"/>
    </row>
    <row r="167" spans="1:20" outlineLevel="1" x14ac:dyDescent="0.15">
      <c r="A167" s="1214"/>
      <c r="B167" s="8" t="s">
        <v>418</v>
      </c>
      <c r="D167" s="379"/>
      <c r="F167" s="46"/>
      <c r="G167" s="343">
        <f t="shared" ref="G167:M167" ca="1" si="52">G26*G166/G165/_Conductivity_Cu*100*(G25/G26-1)</f>
        <v>2.1242210676771092E-4</v>
      </c>
      <c r="H167" s="343">
        <f t="shared" ca="1" si="52"/>
        <v>2.1242210676771092E-4</v>
      </c>
      <c r="I167" s="343">
        <f t="shared" ca="1" si="52"/>
        <v>2.1242210676771092E-4</v>
      </c>
      <c r="J167" s="343">
        <f t="shared" ca="1" si="52"/>
        <v>2.1242210676771092E-4</v>
      </c>
      <c r="K167" s="343">
        <f t="shared" ca="1" si="52"/>
        <v>2.1242210676771092E-4</v>
      </c>
      <c r="L167" s="343">
        <f t="shared" ca="1" si="52"/>
        <v>2.1242210676771092E-4</v>
      </c>
      <c r="M167" s="343">
        <f t="shared" ca="1" si="52"/>
        <v>2.1242210676771092E-4</v>
      </c>
      <c r="N167" s="15"/>
      <c r="O167" s="15"/>
    </row>
    <row r="168" spans="1:20" outlineLevel="1" x14ac:dyDescent="0.15">
      <c r="A168" s="1214"/>
      <c r="B168" s="8" t="s">
        <v>419</v>
      </c>
      <c r="D168" s="379"/>
      <c r="F168" s="46"/>
      <c r="G168" s="11">
        <f t="shared" ref="G168:M168" si="53">(G25/G26-1)*(1+2*(G26-1))</f>
        <v>27</v>
      </c>
      <c r="H168" s="11">
        <f t="shared" si="53"/>
        <v>27</v>
      </c>
      <c r="I168" s="11">
        <f t="shared" si="53"/>
        <v>27</v>
      </c>
      <c r="J168" s="11">
        <f t="shared" si="53"/>
        <v>27</v>
      </c>
      <c r="K168" s="11">
        <f t="shared" si="53"/>
        <v>27</v>
      </c>
      <c r="L168" s="11">
        <f t="shared" si="53"/>
        <v>27</v>
      </c>
      <c r="M168" s="11">
        <f t="shared" si="53"/>
        <v>27</v>
      </c>
      <c r="N168" s="15"/>
      <c r="O168" s="15"/>
    </row>
    <row r="169" spans="1:20" ht="14" outlineLevel="1" x14ac:dyDescent="0.2">
      <c r="A169" s="1214"/>
      <c r="B169" s="8" t="s">
        <v>420</v>
      </c>
      <c r="D169" s="379"/>
      <c r="F169" s="46"/>
      <c r="G169" s="15">
        <f t="shared" ref="G169:M169" ca="1" si="54">G167/G25*G293</f>
        <v>0.12380671330472427</v>
      </c>
      <c r="H169" s="15">
        <f t="shared" ca="1" si="54"/>
        <v>0.12380671330472427</v>
      </c>
      <c r="I169" s="15">
        <f t="shared" ca="1" si="54"/>
        <v>0.12380671330472427</v>
      </c>
      <c r="J169" s="15">
        <f t="shared" ca="1" si="54"/>
        <v>0.12380671330472427</v>
      </c>
      <c r="K169" s="15">
        <f t="shared" ca="1" si="54"/>
        <v>0.12380671330472427</v>
      </c>
      <c r="L169" s="15">
        <f t="shared" ca="1" si="54"/>
        <v>0.12380671330472427</v>
      </c>
      <c r="M169" s="15">
        <f t="shared" ca="1" si="54"/>
        <v>0.12380671330472427</v>
      </c>
      <c r="N169" s="15"/>
      <c r="O169" s="15"/>
    </row>
    <row r="170" spans="1:20" outlineLevel="1" x14ac:dyDescent="0.15">
      <c r="A170" s="1214"/>
      <c r="D170" s="379"/>
      <c r="F170" s="46"/>
      <c r="G170" s="15"/>
      <c r="H170" s="15"/>
      <c r="I170" s="15"/>
      <c r="J170" s="15"/>
      <c r="K170" s="15"/>
      <c r="L170" s="15"/>
      <c r="M170" s="15"/>
      <c r="N170" s="15"/>
      <c r="O170" s="15"/>
    </row>
    <row r="171" spans="1:20" ht="16" outlineLevel="1" x14ac:dyDescent="0.2">
      <c r="A171" s="1214"/>
      <c r="B171" s="5" t="s">
        <v>421</v>
      </c>
      <c r="D171" s="379"/>
      <c r="F171" s="46"/>
      <c r="G171" s="15"/>
      <c r="H171" s="15"/>
      <c r="I171" s="15"/>
      <c r="J171" s="15"/>
      <c r="K171" s="15"/>
      <c r="L171" s="15"/>
      <c r="M171" s="15"/>
      <c r="N171" s="15"/>
      <c r="O171" s="15"/>
    </row>
    <row r="172" spans="1:20" ht="14" outlineLevel="1" x14ac:dyDescent="0.2">
      <c r="A172" s="1214"/>
      <c r="B172" s="8" t="s">
        <v>422</v>
      </c>
      <c r="D172" s="379"/>
      <c r="F172" s="46"/>
      <c r="G172" s="377">
        <f>0.4</f>
        <v>0.4</v>
      </c>
      <c r="H172" s="377">
        <f t="shared" ref="H172:M172" si="55">0.4</f>
        <v>0.4</v>
      </c>
      <c r="I172" s="377">
        <f t="shared" si="55"/>
        <v>0.4</v>
      </c>
      <c r="J172" s="377">
        <f t="shared" si="55"/>
        <v>0.4</v>
      </c>
      <c r="K172" s="377">
        <f t="shared" si="55"/>
        <v>0.4</v>
      </c>
      <c r="L172" s="377">
        <f t="shared" si="55"/>
        <v>0.4</v>
      </c>
      <c r="M172" s="377">
        <f t="shared" si="55"/>
        <v>0.4</v>
      </c>
      <c r="N172" s="15"/>
      <c r="O172" s="15"/>
    </row>
    <row r="173" spans="1:20" ht="14" outlineLevel="1" x14ac:dyDescent="0.2">
      <c r="A173" s="1214"/>
      <c r="B173" s="8" t="s">
        <v>416</v>
      </c>
      <c r="D173" s="379"/>
      <c r="F173" s="46"/>
      <c r="G173" s="378">
        <f t="shared" ref="G173:M173" ca="1" si="56">G$226/(_Conductivity_Cu/100*G172*_Cp_Cu*_rho_Cu)^0.5</f>
        <v>0.45877005002187543</v>
      </c>
      <c r="H173" s="378">
        <f t="shared" ca="1" si="56"/>
        <v>0.45877005002187543</v>
      </c>
      <c r="I173" s="378">
        <f t="shared" ca="1" si="56"/>
        <v>0.45877005002187543</v>
      </c>
      <c r="J173" s="378">
        <f t="shared" ca="1" si="56"/>
        <v>0.45877005002187543</v>
      </c>
      <c r="K173" s="378">
        <f t="shared" ca="1" si="56"/>
        <v>0.45877005002187543</v>
      </c>
      <c r="L173" s="378">
        <f t="shared" ca="1" si="56"/>
        <v>0.45877005002187543</v>
      </c>
      <c r="M173" s="378">
        <f t="shared" ca="1" si="56"/>
        <v>0.45877005002187543</v>
      </c>
      <c r="N173" s="15"/>
      <c r="O173" s="15"/>
    </row>
    <row r="174" spans="1:20" outlineLevel="1" x14ac:dyDescent="0.15">
      <c r="A174" s="1214"/>
      <c r="B174" s="8" t="s">
        <v>417</v>
      </c>
      <c r="D174" s="379"/>
      <c r="F174" s="46"/>
      <c r="G174" s="66">
        <f t="shared" ref="G174:M174" ca="1" si="57">G331/10/2</f>
        <v>3</v>
      </c>
      <c r="H174" s="66">
        <f t="shared" ca="1" si="57"/>
        <v>3</v>
      </c>
      <c r="I174" s="66">
        <f t="shared" ca="1" si="57"/>
        <v>3</v>
      </c>
      <c r="J174" s="66">
        <f t="shared" ca="1" si="57"/>
        <v>3</v>
      </c>
      <c r="K174" s="66">
        <f t="shared" ca="1" si="57"/>
        <v>3</v>
      </c>
      <c r="L174" s="66">
        <f t="shared" ca="1" si="57"/>
        <v>3</v>
      </c>
      <c r="M174" s="66">
        <f t="shared" ca="1" si="57"/>
        <v>3</v>
      </c>
      <c r="N174" s="15"/>
      <c r="O174" s="380"/>
      <c r="P174" s="46"/>
    </row>
    <row r="175" spans="1:20" outlineLevel="1" x14ac:dyDescent="0.15">
      <c r="A175" s="1214"/>
      <c r="B175" s="8" t="s">
        <v>423</v>
      </c>
      <c r="D175" s="379"/>
      <c r="F175" s="46"/>
      <c r="G175" s="93">
        <f t="shared" ref="G175:M175" ca="1" si="58">G174/G173/_Conductivity_Cu*100+IF(G26=2,0,IF(G26=3,1/4,IF(G26=4,5/16,0)))*G166/G165/_Conductivity_Cu</f>
        <v>1.0971851904325167E-5</v>
      </c>
      <c r="H175" s="93">
        <f t="shared" ca="1" si="58"/>
        <v>1.0971851904325167E-5</v>
      </c>
      <c r="I175" s="93">
        <f t="shared" ca="1" si="58"/>
        <v>1.0971851904325167E-5</v>
      </c>
      <c r="J175" s="93">
        <f t="shared" ca="1" si="58"/>
        <v>1.0971851904325167E-5</v>
      </c>
      <c r="K175" s="93">
        <f t="shared" ca="1" si="58"/>
        <v>1.0971851904325167E-5</v>
      </c>
      <c r="L175" s="93">
        <f t="shared" ca="1" si="58"/>
        <v>1.0971851904325167E-5</v>
      </c>
      <c r="M175" s="93">
        <f t="shared" ca="1" si="58"/>
        <v>1.0971851904325167E-5</v>
      </c>
      <c r="N175" s="15"/>
      <c r="O175" s="133"/>
      <c r="P175" s="46"/>
      <c r="S175" s="46"/>
      <c r="T175" s="46"/>
    </row>
    <row r="176" spans="1:20" outlineLevel="1" x14ac:dyDescent="0.15">
      <c r="A176" s="1214"/>
      <c r="B176" s="8" t="s">
        <v>424</v>
      </c>
      <c r="D176" s="379"/>
      <c r="F176" s="46"/>
      <c r="G176" s="333">
        <f>2</f>
        <v>2</v>
      </c>
      <c r="H176" s="333">
        <f>2</f>
        <v>2</v>
      </c>
      <c r="I176" s="333">
        <f>2</f>
        <v>2</v>
      </c>
      <c r="J176" s="333">
        <f>2</f>
        <v>2</v>
      </c>
      <c r="K176" s="333">
        <f>2</f>
        <v>2</v>
      </c>
      <c r="L176" s="333">
        <f>2</f>
        <v>2</v>
      </c>
      <c r="M176" s="333">
        <f>2</f>
        <v>2</v>
      </c>
      <c r="N176" s="15"/>
      <c r="O176" s="15"/>
      <c r="Q176" s="353"/>
      <c r="R176" s="46"/>
      <c r="S176" s="46"/>
      <c r="T176" s="46"/>
    </row>
    <row r="177" spans="1:23" ht="14" outlineLevel="1" x14ac:dyDescent="0.2">
      <c r="A177" s="1214"/>
      <c r="B177" s="8" t="s">
        <v>425</v>
      </c>
      <c r="D177" s="379"/>
      <c r="F177" s="46"/>
      <c r="G177" s="15">
        <f t="shared" ref="G177:M177" ca="1" si="59">G175*G$293*G176/G$25</f>
        <v>1.278952500575764E-2</v>
      </c>
      <c r="H177" s="15">
        <f t="shared" ca="1" si="59"/>
        <v>1.278952500575764E-2</v>
      </c>
      <c r="I177" s="15">
        <f t="shared" ca="1" si="59"/>
        <v>1.278952500575764E-2</v>
      </c>
      <c r="J177" s="15">
        <f t="shared" ca="1" si="59"/>
        <v>1.278952500575764E-2</v>
      </c>
      <c r="K177" s="15">
        <f t="shared" ca="1" si="59"/>
        <v>1.278952500575764E-2</v>
      </c>
      <c r="L177" s="15">
        <f t="shared" ca="1" si="59"/>
        <v>1.278952500575764E-2</v>
      </c>
      <c r="M177" s="15">
        <f t="shared" ca="1" si="59"/>
        <v>1.278952500575764E-2</v>
      </c>
      <c r="N177" s="383"/>
      <c r="O177" s="15"/>
      <c r="P177" s="46"/>
      <c r="Q177" s="353"/>
      <c r="R177" s="46"/>
      <c r="T177" s="46"/>
    </row>
    <row r="178" spans="1:23" outlineLevel="1" x14ac:dyDescent="0.15">
      <c r="A178" s="1214"/>
      <c r="D178" s="379"/>
      <c r="F178" s="46"/>
      <c r="G178" s="15"/>
      <c r="H178" s="15"/>
      <c r="I178" s="15"/>
      <c r="J178" s="15"/>
      <c r="K178" s="15"/>
      <c r="L178" s="15"/>
      <c r="M178" s="15"/>
      <c r="N178" s="383"/>
      <c r="O178" s="15"/>
      <c r="P178" s="46"/>
      <c r="Q178" s="353"/>
      <c r="R178" s="46"/>
      <c r="T178" s="46"/>
    </row>
    <row r="179" spans="1:23" ht="16" outlineLevel="1" x14ac:dyDescent="0.2">
      <c r="A179" s="1214"/>
      <c r="B179" s="5" t="s">
        <v>426</v>
      </c>
      <c r="D179" s="379"/>
      <c r="F179" s="46"/>
      <c r="G179" s="15"/>
      <c r="H179" s="15"/>
      <c r="I179" s="15"/>
      <c r="J179" s="15"/>
      <c r="K179" s="15"/>
      <c r="L179" s="15"/>
      <c r="M179" s="15"/>
      <c r="O179" s="11"/>
      <c r="P179" s="46"/>
      <c r="Q179" s="353"/>
      <c r="R179" s="46"/>
      <c r="T179" s="46"/>
    </row>
    <row r="180" spans="1:23" ht="14" outlineLevel="1" x14ac:dyDescent="0.2">
      <c r="A180" s="1214"/>
      <c r="B180" s="8" t="s">
        <v>427</v>
      </c>
      <c r="D180" s="379"/>
      <c r="F180" s="46"/>
      <c r="G180" s="377">
        <f>0.2</f>
        <v>0.2</v>
      </c>
      <c r="H180" s="377">
        <f t="shared" ref="H180:M180" si="60">0.2</f>
        <v>0.2</v>
      </c>
      <c r="I180" s="377">
        <f t="shared" si="60"/>
        <v>0.2</v>
      </c>
      <c r="J180" s="377">
        <f t="shared" si="60"/>
        <v>0.2</v>
      </c>
      <c r="K180" s="377">
        <f t="shared" si="60"/>
        <v>0.2</v>
      </c>
      <c r="L180" s="377">
        <f t="shared" si="60"/>
        <v>0.2</v>
      </c>
      <c r="M180" s="377">
        <f t="shared" si="60"/>
        <v>0.2</v>
      </c>
      <c r="N180" s="23"/>
      <c r="O180" s="15"/>
      <c r="P180" s="46"/>
      <c r="Q180" s="353"/>
      <c r="R180" s="46"/>
      <c r="T180" s="46"/>
    </row>
    <row r="181" spans="1:23" ht="14" outlineLevel="1" x14ac:dyDescent="0.2">
      <c r="A181" s="1214"/>
      <c r="B181" s="8" t="s">
        <v>416</v>
      </c>
      <c r="D181" s="379"/>
      <c r="F181" s="46"/>
      <c r="G181" s="378">
        <f t="shared" ref="G181:M181" ca="1" si="61">G$226/(_Conductivity_Cu/100*G180*_Cp_Cu*_rho_Cu)^0.5</f>
        <v>0.64879882675151956</v>
      </c>
      <c r="H181" s="378">
        <f t="shared" ca="1" si="61"/>
        <v>0.64879882675151956</v>
      </c>
      <c r="I181" s="378">
        <f t="shared" ca="1" si="61"/>
        <v>0.64879882675151956</v>
      </c>
      <c r="J181" s="378">
        <f t="shared" ca="1" si="61"/>
        <v>0.64879882675151956</v>
      </c>
      <c r="K181" s="378">
        <f t="shared" ca="1" si="61"/>
        <v>0.64879882675151956</v>
      </c>
      <c r="L181" s="378">
        <f t="shared" ca="1" si="61"/>
        <v>0.64879882675151956</v>
      </c>
      <c r="M181" s="378">
        <f t="shared" ca="1" si="61"/>
        <v>0.64879882675151956</v>
      </c>
      <c r="O181" s="15"/>
      <c r="P181" s="46"/>
      <c r="Q181" s="353"/>
      <c r="R181" s="46"/>
      <c r="T181" s="46"/>
    </row>
    <row r="182" spans="1:23" outlineLevel="1" x14ac:dyDescent="0.15">
      <c r="A182" s="1214"/>
      <c r="B182" s="8" t="s">
        <v>417</v>
      </c>
      <c r="D182" s="379"/>
      <c r="F182" s="46"/>
      <c r="G182" s="66">
        <f>(G335-10)/10</f>
        <v>2.5</v>
      </c>
      <c r="H182" s="66">
        <f t="shared" ref="H182:M182" si="62">(H335-10)/10</f>
        <v>2.5</v>
      </c>
      <c r="I182" s="66">
        <f t="shared" si="62"/>
        <v>2.5</v>
      </c>
      <c r="J182" s="66">
        <f t="shared" si="62"/>
        <v>2.5</v>
      </c>
      <c r="K182" s="66">
        <f t="shared" si="62"/>
        <v>2.5</v>
      </c>
      <c r="L182" s="66">
        <f t="shared" si="62"/>
        <v>2.5</v>
      </c>
      <c r="M182" s="66">
        <f t="shared" si="62"/>
        <v>2.5</v>
      </c>
      <c r="O182" s="15"/>
      <c r="P182" s="46"/>
      <c r="Q182" s="46"/>
      <c r="R182" s="46"/>
      <c r="T182" s="46"/>
    </row>
    <row r="183" spans="1:23" outlineLevel="1" x14ac:dyDescent="0.15">
      <c r="A183" s="1214"/>
      <c r="B183" s="8" t="s">
        <v>428</v>
      </c>
      <c r="D183" s="379"/>
      <c r="F183" s="46"/>
      <c r="G183" s="93">
        <f t="shared" ref="G183:M183" ca="1" si="63">G182/G181/_Conductivity_Cu*100</f>
        <v>6.465225736435716E-6</v>
      </c>
      <c r="H183" s="93">
        <f t="shared" ca="1" si="63"/>
        <v>6.465225736435716E-6</v>
      </c>
      <c r="I183" s="93">
        <f t="shared" ca="1" si="63"/>
        <v>6.465225736435716E-6</v>
      </c>
      <c r="J183" s="93">
        <f t="shared" ca="1" si="63"/>
        <v>6.465225736435716E-6</v>
      </c>
      <c r="K183" s="93">
        <f t="shared" ca="1" si="63"/>
        <v>6.465225736435716E-6</v>
      </c>
      <c r="L183" s="93">
        <f t="shared" ca="1" si="63"/>
        <v>6.465225736435716E-6</v>
      </c>
      <c r="M183" s="93">
        <f t="shared" ca="1" si="63"/>
        <v>6.465225736435716E-6</v>
      </c>
      <c r="O183" s="15"/>
      <c r="P183" s="378"/>
      <c r="Q183" s="378"/>
      <c r="R183" s="378"/>
      <c r="U183" s="378"/>
      <c r="V183" s="378"/>
      <c r="W183" s="378"/>
    </row>
    <row r="184" spans="1:23" ht="14" outlineLevel="1" x14ac:dyDescent="0.2">
      <c r="A184" s="1214"/>
      <c r="B184" s="8" t="s">
        <v>429</v>
      </c>
      <c r="D184" s="379"/>
      <c r="F184" s="46"/>
      <c r="G184" s="15">
        <f t="shared" ref="G184:M184" ca="1" si="64">2*G183*G$293/G$25</f>
        <v>7.5362998831051201E-3</v>
      </c>
      <c r="H184" s="15">
        <f t="shared" ca="1" si="64"/>
        <v>7.5362998831051201E-3</v>
      </c>
      <c r="I184" s="15">
        <f t="shared" ca="1" si="64"/>
        <v>7.5362998831051201E-3</v>
      </c>
      <c r="J184" s="15">
        <f t="shared" ca="1" si="64"/>
        <v>7.5362998831051201E-3</v>
      </c>
      <c r="K184" s="15">
        <f t="shared" ca="1" si="64"/>
        <v>7.5362998831051201E-3</v>
      </c>
      <c r="L184" s="15">
        <f t="shared" ca="1" si="64"/>
        <v>7.5362998831051201E-3</v>
      </c>
      <c r="M184" s="15">
        <f t="shared" ca="1" si="64"/>
        <v>7.5362998831051201E-3</v>
      </c>
      <c r="O184" s="15"/>
      <c r="P184" s="378"/>
      <c r="Q184" s="378"/>
      <c r="R184" s="378"/>
      <c r="U184" s="378"/>
      <c r="V184" s="378"/>
      <c r="W184" s="378"/>
    </row>
    <row r="185" spans="1:23" outlineLevel="1" x14ac:dyDescent="0.15">
      <c r="A185" s="1214"/>
      <c r="D185" s="379"/>
      <c r="F185" s="46"/>
      <c r="G185" s="15"/>
      <c r="H185" s="15"/>
      <c r="I185" s="15"/>
      <c r="J185" s="15"/>
      <c r="K185" s="15"/>
      <c r="L185" s="15"/>
      <c r="M185" s="15"/>
      <c r="O185" s="15"/>
      <c r="P185" s="378"/>
      <c r="Q185" s="378"/>
      <c r="R185" s="378"/>
      <c r="U185" s="378"/>
      <c r="V185" s="378"/>
      <c r="W185" s="378"/>
    </row>
    <row r="186" spans="1:23" ht="16" outlineLevel="1" x14ac:dyDescent="0.2">
      <c r="A186" s="1214"/>
      <c r="B186" s="5" t="s">
        <v>430</v>
      </c>
      <c r="D186" s="379"/>
      <c r="F186" s="46"/>
      <c r="G186" s="15"/>
      <c r="H186" s="15"/>
      <c r="I186" s="15"/>
      <c r="J186" s="15"/>
      <c r="K186" s="15"/>
      <c r="L186" s="15"/>
      <c r="M186" s="15"/>
      <c r="O186" s="15"/>
      <c r="P186" s="378"/>
      <c r="Q186" s="378"/>
      <c r="R186" s="378"/>
      <c r="U186" s="378"/>
      <c r="V186" s="378"/>
      <c r="W186" s="378"/>
    </row>
    <row r="187" spans="1:23" ht="14" outlineLevel="1" x14ac:dyDescent="0.2">
      <c r="A187" s="1214"/>
      <c r="B187" s="8" t="s">
        <v>427</v>
      </c>
      <c r="D187" s="379"/>
      <c r="F187" s="46"/>
      <c r="G187" s="377">
        <f>0.2</f>
        <v>0.2</v>
      </c>
      <c r="H187" s="377">
        <f t="shared" ref="H187:M187" si="65">0.2</f>
        <v>0.2</v>
      </c>
      <c r="I187" s="377">
        <f t="shared" si="65"/>
        <v>0.2</v>
      </c>
      <c r="J187" s="377">
        <f t="shared" si="65"/>
        <v>0.2</v>
      </c>
      <c r="K187" s="377">
        <f t="shared" si="65"/>
        <v>0.2</v>
      </c>
      <c r="L187" s="377">
        <f t="shared" si="65"/>
        <v>0.2</v>
      </c>
      <c r="M187" s="377">
        <f t="shared" si="65"/>
        <v>0.2</v>
      </c>
      <c r="O187" s="15"/>
      <c r="P187" s="378"/>
      <c r="Q187" s="378"/>
      <c r="R187" s="378"/>
      <c r="U187" s="378"/>
      <c r="V187" s="378"/>
      <c r="W187" s="378"/>
    </row>
    <row r="188" spans="1:23" ht="14" outlineLevel="1" x14ac:dyDescent="0.2">
      <c r="A188" s="1214"/>
      <c r="B188" s="8" t="s">
        <v>416</v>
      </c>
      <c r="D188" s="379"/>
      <c r="F188" s="46"/>
      <c r="G188" s="378">
        <f t="shared" ref="G188:M188" ca="1" si="66">G$226/(_Conductivity_Cu/100*G187*_Cp_Cu*_rho_Cu)^0.5</f>
        <v>0.64879882675151956</v>
      </c>
      <c r="H188" s="378">
        <f t="shared" ca="1" si="66"/>
        <v>0.64879882675151956</v>
      </c>
      <c r="I188" s="378">
        <f t="shared" ca="1" si="66"/>
        <v>0.64879882675151956</v>
      </c>
      <c r="J188" s="378">
        <f t="shared" ca="1" si="66"/>
        <v>0.64879882675151956</v>
      </c>
      <c r="K188" s="378">
        <f t="shared" ca="1" si="66"/>
        <v>0.64879882675151956</v>
      </c>
      <c r="L188" s="378">
        <f t="shared" ca="1" si="66"/>
        <v>0.64879882675151956</v>
      </c>
      <c r="M188" s="378">
        <f t="shared" ca="1" si="66"/>
        <v>0.64879882675151956</v>
      </c>
      <c r="O188" s="15"/>
      <c r="P188" s="378"/>
      <c r="Q188" s="378"/>
      <c r="R188" s="378"/>
      <c r="U188" s="378"/>
      <c r="V188" s="378"/>
      <c r="W188" s="378"/>
    </row>
    <row r="189" spans="1:23" outlineLevel="1" x14ac:dyDescent="0.15">
      <c r="A189" s="1214"/>
      <c r="B189" s="8" t="s">
        <v>431</v>
      </c>
      <c r="D189" s="379"/>
      <c r="F189" s="46"/>
      <c r="G189" s="148">
        <f>6</f>
        <v>6</v>
      </c>
      <c r="H189" s="148">
        <f>6</f>
        <v>6</v>
      </c>
      <c r="I189" s="148">
        <f>6</f>
        <v>6</v>
      </c>
      <c r="J189" s="148">
        <f>6</f>
        <v>6</v>
      </c>
      <c r="K189" s="148">
        <f>6</f>
        <v>6</v>
      </c>
      <c r="L189" s="148">
        <f>6</f>
        <v>6</v>
      </c>
      <c r="M189" s="148">
        <f>6</f>
        <v>6</v>
      </c>
      <c r="O189" s="15"/>
      <c r="P189" s="378"/>
      <c r="Q189" s="378"/>
      <c r="R189" s="378"/>
      <c r="U189" s="378"/>
      <c r="V189" s="378"/>
      <c r="W189" s="378"/>
    </row>
    <row r="190" spans="1:23" outlineLevel="1" x14ac:dyDescent="0.15">
      <c r="A190" s="1214"/>
      <c r="B190" s="8" t="s">
        <v>428</v>
      </c>
      <c r="D190" s="379"/>
      <c r="F190" s="46"/>
      <c r="G190" s="93">
        <f t="shared" ref="G190:M190" ca="1" si="67">G189/G188/_Conductivity_Cu*100</f>
        <v>1.551654176744572E-5</v>
      </c>
      <c r="H190" s="93">
        <f t="shared" ca="1" si="67"/>
        <v>1.551654176744572E-5</v>
      </c>
      <c r="I190" s="93">
        <f t="shared" ca="1" si="67"/>
        <v>1.551654176744572E-5</v>
      </c>
      <c r="J190" s="93">
        <f t="shared" ca="1" si="67"/>
        <v>1.551654176744572E-5</v>
      </c>
      <c r="K190" s="93">
        <f t="shared" ca="1" si="67"/>
        <v>1.551654176744572E-5</v>
      </c>
      <c r="L190" s="93">
        <f t="shared" ca="1" si="67"/>
        <v>1.551654176744572E-5</v>
      </c>
      <c r="M190" s="93">
        <f t="shared" ca="1" si="67"/>
        <v>1.551654176744572E-5</v>
      </c>
      <c r="O190" s="15"/>
      <c r="P190" s="378"/>
      <c r="Q190" s="378"/>
      <c r="R190" s="378"/>
      <c r="U190" s="378"/>
      <c r="V190" s="378"/>
      <c r="W190" s="378"/>
    </row>
    <row r="191" spans="1:23" outlineLevel="1" x14ac:dyDescent="0.15">
      <c r="A191" s="1214"/>
      <c r="B191" s="8" t="s">
        <v>432</v>
      </c>
      <c r="D191" s="379"/>
      <c r="F191" s="46"/>
      <c r="G191" s="11">
        <f t="shared" ref="G191:M191" si="68">(G27+1)*G28</f>
        <v>24</v>
      </c>
      <c r="H191" s="11">
        <f t="shared" si="68"/>
        <v>24</v>
      </c>
      <c r="I191" s="11">
        <f t="shared" si="68"/>
        <v>24</v>
      </c>
      <c r="J191" s="11">
        <f t="shared" si="68"/>
        <v>24</v>
      </c>
      <c r="K191" s="11">
        <f t="shared" si="68"/>
        <v>24</v>
      </c>
      <c r="L191" s="11">
        <f t="shared" si="68"/>
        <v>24</v>
      </c>
      <c r="M191" s="11">
        <f t="shared" si="68"/>
        <v>24</v>
      </c>
      <c r="O191" s="15"/>
      <c r="P191" s="378"/>
      <c r="Q191" s="378"/>
      <c r="R191" s="378"/>
      <c r="U191" s="378"/>
      <c r="V191" s="378"/>
      <c r="W191" s="378"/>
    </row>
    <row r="192" spans="1:23" ht="14" outlineLevel="1" x14ac:dyDescent="0.2">
      <c r="A192" s="1214"/>
      <c r="B192" s="8" t="s">
        <v>425</v>
      </c>
      <c r="D192" s="379"/>
      <c r="F192" s="46"/>
      <c r="G192" s="15">
        <f t="shared" ref="G192:M192" ca="1" si="69">G190*G$293*G191/G$31</f>
        <v>1.0852271831671374E-2</v>
      </c>
      <c r="H192" s="15">
        <f t="shared" ca="1" si="69"/>
        <v>1.0852271831671374E-2</v>
      </c>
      <c r="I192" s="15">
        <f t="shared" ca="1" si="69"/>
        <v>1.0852271831671374E-2</v>
      </c>
      <c r="J192" s="15">
        <f t="shared" ca="1" si="69"/>
        <v>1.0852271831671374E-2</v>
      </c>
      <c r="K192" s="15">
        <f t="shared" ca="1" si="69"/>
        <v>1.0852271831671374E-2</v>
      </c>
      <c r="L192" s="15">
        <f t="shared" ca="1" si="69"/>
        <v>1.0852271831671374E-2</v>
      </c>
      <c r="M192" s="15">
        <f t="shared" ca="1" si="69"/>
        <v>1.0852271831671374E-2</v>
      </c>
      <c r="O192" s="15"/>
      <c r="P192" s="378"/>
      <c r="Q192" s="378"/>
      <c r="R192" s="378"/>
      <c r="U192" s="378"/>
      <c r="V192" s="378"/>
      <c r="W192" s="378"/>
    </row>
    <row r="193" spans="1:24" outlineLevel="1" x14ac:dyDescent="0.15">
      <c r="A193" s="1214"/>
      <c r="D193" s="379"/>
      <c r="F193" s="46"/>
      <c r="G193" s="15"/>
      <c r="H193" s="15"/>
      <c r="I193" s="15"/>
      <c r="J193" s="15"/>
      <c r="K193" s="15"/>
      <c r="L193" s="15"/>
      <c r="M193" s="15"/>
      <c r="O193" s="15"/>
      <c r="P193" s="378"/>
      <c r="Q193" s="378"/>
      <c r="R193" s="378"/>
      <c r="U193" s="378"/>
      <c r="V193" s="378"/>
      <c r="W193" s="378"/>
    </row>
    <row r="194" spans="1:24" ht="16" outlineLevel="1" x14ac:dyDescent="0.2">
      <c r="A194" s="1214"/>
      <c r="B194" s="5" t="s">
        <v>433</v>
      </c>
      <c r="D194" s="379"/>
      <c r="F194" s="46"/>
      <c r="G194" s="15"/>
      <c r="H194" s="15"/>
      <c r="I194" s="15"/>
      <c r="J194" s="15"/>
      <c r="K194" s="15"/>
      <c r="L194" s="15"/>
      <c r="M194" s="15"/>
      <c r="O194" s="15"/>
      <c r="P194" s="378"/>
      <c r="Q194" s="378"/>
      <c r="R194" s="378"/>
      <c r="U194" s="378"/>
      <c r="V194" s="378"/>
      <c r="W194" s="378"/>
    </row>
    <row r="195" spans="1:24" ht="14" outlineLevel="1" x14ac:dyDescent="0.2">
      <c r="A195" s="1214"/>
      <c r="B195" s="8" t="s">
        <v>434</v>
      </c>
      <c r="D195" s="379"/>
      <c r="F195" s="46"/>
      <c r="G195" s="377">
        <f>IF(Dashboard!$E36="Yes",0.04,0.1)</f>
        <v>0.1</v>
      </c>
      <c r="H195" s="377">
        <f>IF(Dashboard!$E36="Yes",0.04,0.1)</f>
        <v>0.1</v>
      </c>
      <c r="I195" s="377">
        <f>IF(Dashboard!$E36="Yes",0.04,0.1)</f>
        <v>0.1</v>
      </c>
      <c r="J195" s="377">
        <f>IF(Dashboard!$E36="Yes",0.04,0.1)</f>
        <v>0.1</v>
      </c>
      <c r="K195" s="377">
        <f>IF(Dashboard!$E36="Yes",0.04,0.1)</f>
        <v>0.1</v>
      </c>
      <c r="L195" s="377">
        <f>IF(Dashboard!$E36="Yes",0.04,0.1)</f>
        <v>0.1</v>
      </c>
      <c r="M195" s="377">
        <f>IF(Dashboard!$E36="Yes",0.04,0.1)</f>
        <v>0.1</v>
      </c>
      <c r="O195" s="15"/>
      <c r="P195" s="378"/>
      <c r="Q195" s="378"/>
      <c r="R195" s="378"/>
      <c r="U195" s="378"/>
      <c r="V195" s="378"/>
      <c r="W195" s="378"/>
    </row>
    <row r="196" spans="1:24" ht="14" outlineLevel="1" x14ac:dyDescent="0.2">
      <c r="A196" s="1214"/>
      <c r="B196" s="8" t="s">
        <v>416</v>
      </c>
      <c r="D196" s="379"/>
      <c r="F196" s="46"/>
      <c r="G196" s="378">
        <f t="shared" ref="G196:M196" ca="1" si="70">G$227/(_Conductivity_Cu/100*G195*_Cp_Cu*_rho_Cu)^0.5</f>
        <v>1.8350802000875017</v>
      </c>
      <c r="H196" s="378">
        <f t="shared" ca="1" si="70"/>
        <v>1.8350802000875017</v>
      </c>
      <c r="I196" s="378">
        <f t="shared" ca="1" si="70"/>
        <v>1.8350802000875017</v>
      </c>
      <c r="J196" s="378">
        <f t="shared" ca="1" si="70"/>
        <v>1.8350802000875017</v>
      </c>
      <c r="K196" s="378">
        <f t="shared" ca="1" si="70"/>
        <v>1.8350802000875017</v>
      </c>
      <c r="L196" s="378">
        <f t="shared" ca="1" si="70"/>
        <v>1.8350802000875017</v>
      </c>
      <c r="M196" s="378">
        <f t="shared" ca="1" si="70"/>
        <v>1.8350802000875017</v>
      </c>
      <c r="O196" s="15"/>
      <c r="P196" s="378"/>
      <c r="Q196" s="378"/>
      <c r="R196" s="378"/>
      <c r="U196" s="378"/>
      <c r="V196" s="378"/>
      <c r="W196" s="378"/>
    </row>
    <row r="197" spans="1:24" outlineLevel="1" x14ac:dyDescent="0.15">
      <c r="A197" s="1214"/>
      <c r="B197" s="8" t="s">
        <v>417</v>
      </c>
      <c r="D197" s="379"/>
      <c r="F197" s="46"/>
      <c r="G197" s="66">
        <f t="shared" ref="G197:M197" ca="1" si="71">G27*G355/10+4</f>
        <v>209.64127918567942</v>
      </c>
      <c r="H197" s="66">
        <f t="shared" ca="1" si="71"/>
        <v>209.64127918567942</v>
      </c>
      <c r="I197" s="66">
        <f t="shared" ca="1" si="71"/>
        <v>209.64127918567942</v>
      </c>
      <c r="J197" s="66">
        <f t="shared" ca="1" si="71"/>
        <v>209.64127918567942</v>
      </c>
      <c r="K197" s="66">
        <f t="shared" ca="1" si="71"/>
        <v>209.64127918567942</v>
      </c>
      <c r="L197" s="66">
        <f t="shared" ca="1" si="71"/>
        <v>209.64127918567942</v>
      </c>
      <c r="M197" s="66">
        <f t="shared" ca="1" si="71"/>
        <v>209.64127918567942</v>
      </c>
      <c r="O197" s="15"/>
      <c r="P197" s="378"/>
      <c r="Q197" s="378"/>
      <c r="R197" s="378"/>
      <c r="U197" s="378"/>
      <c r="V197" s="378"/>
      <c r="W197" s="378"/>
    </row>
    <row r="198" spans="1:24" outlineLevel="1" x14ac:dyDescent="0.15">
      <c r="A198" s="1214"/>
      <c r="B198" s="8" t="s">
        <v>428</v>
      </c>
      <c r="D198" s="379"/>
      <c r="F198" s="46"/>
      <c r="G198" s="93">
        <f t="shared" ref="G198:M198" ca="1" si="72">G197/G196/_Conductivity_Cu*100</f>
        <v>1.9167942235488007E-4</v>
      </c>
      <c r="H198" s="93">
        <f t="shared" ca="1" si="72"/>
        <v>1.9167942235488007E-4</v>
      </c>
      <c r="I198" s="93">
        <f t="shared" ca="1" si="72"/>
        <v>1.9167942235488007E-4</v>
      </c>
      <c r="J198" s="93">
        <f t="shared" ca="1" si="72"/>
        <v>1.9167942235488007E-4</v>
      </c>
      <c r="K198" s="93">
        <f t="shared" ca="1" si="72"/>
        <v>1.9167942235488007E-4</v>
      </c>
      <c r="L198" s="93">
        <f t="shared" ca="1" si="72"/>
        <v>1.9167942235488007E-4</v>
      </c>
      <c r="M198" s="93">
        <f t="shared" ca="1" si="72"/>
        <v>1.9167942235488007E-4</v>
      </c>
      <c r="O198" s="15"/>
      <c r="P198" s="378"/>
      <c r="Q198" s="378"/>
      <c r="R198" s="378"/>
      <c r="U198" s="378"/>
      <c r="V198" s="378"/>
      <c r="W198" s="378"/>
    </row>
    <row r="199" spans="1:24" outlineLevel="1" x14ac:dyDescent="0.15">
      <c r="A199" s="1214"/>
      <c r="B199" s="8" t="s">
        <v>432</v>
      </c>
      <c r="D199" s="379"/>
      <c r="F199" s="46"/>
      <c r="G199" s="11">
        <f t="shared" ref="G199:M199" si="73">MOD(G28, 2)</f>
        <v>0</v>
      </c>
      <c r="H199" s="11">
        <f t="shared" si="73"/>
        <v>0</v>
      </c>
      <c r="I199" s="11">
        <f t="shared" si="73"/>
        <v>0</v>
      </c>
      <c r="J199" s="11">
        <f t="shared" si="73"/>
        <v>0</v>
      </c>
      <c r="K199" s="11">
        <f t="shared" si="73"/>
        <v>0</v>
      </c>
      <c r="L199" s="11">
        <f t="shared" si="73"/>
        <v>0</v>
      </c>
      <c r="M199" s="11">
        <f t="shared" si="73"/>
        <v>0</v>
      </c>
      <c r="O199" s="15"/>
      <c r="P199" s="378"/>
      <c r="Q199" s="378"/>
      <c r="R199" s="378"/>
      <c r="U199" s="378"/>
      <c r="V199" s="378"/>
      <c r="W199" s="378"/>
    </row>
    <row r="200" spans="1:24" ht="14" outlineLevel="1" x14ac:dyDescent="0.2">
      <c r="A200" s="1214"/>
      <c r="B200" s="8" t="s">
        <v>435</v>
      </c>
      <c r="D200" s="379"/>
      <c r="F200" s="46"/>
      <c r="G200" s="15">
        <f t="shared" ref="G200:M200" ca="1" si="74">G198*G$293/G$31*G199</f>
        <v>0</v>
      </c>
      <c r="H200" s="15">
        <f t="shared" ca="1" si="74"/>
        <v>0</v>
      </c>
      <c r="I200" s="15">
        <f t="shared" ca="1" si="74"/>
        <v>0</v>
      </c>
      <c r="J200" s="15">
        <f t="shared" ca="1" si="74"/>
        <v>0</v>
      </c>
      <c r="K200" s="15">
        <f t="shared" ca="1" si="74"/>
        <v>0</v>
      </c>
      <c r="L200" s="15">
        <f t="shared" ca="1" si="74"/>
        <v>0</v>
      </c>
      <c r="M200" s="15">
        <f t="shared" ca="1" si="74"/>
        <v>0</v>
      </c>
      <c r="O200" s="15"/>
      <c r="P200" s="378"/>
      <c r="Q200" s="378"/>
      <c r="R200" s="378"/>
      <c r="U200" s="378"/>
      <c r="V200" s="378"/>
      <c r="W200" s="378"/>
    </row>
    <row r="201" spans="1:24" outlineLevel="1" x14ac:dyDescent="0.15">
      <c r="A201" s="1214"/>
      <c r="D201" s="379"/>
      <c r="F201" s="46"/>
      <c r="G201" s="15"/>
      <c r="H201" s="15"/>
      <c r="I201" s="15"/>
      <c r="J201" s="15"/>
      <c r="K201" s="15"/>
      <c r="L201" s="15"/>
      <c r="M201" s="15"/>
      <c r="O201" s="15"/>
      <c r="P201" s="378"/>
      <c r="Q201" s="378"/>
      <c r="R201" s="378"/>
      <c r="U201" s="378"/>
      <c r="V201" s="378"/>
      <c r="W201" s="378"/>
    </row>
    <row r="202" spans="1:24" ht="16" outlineLevel="1" x14ac:dyDescent="0.2">
      <c r="A202" s="1214"/>
      <c r="B202" s="5" t="s">
        <v>436</v>
      </c>
      <c r="D202" s="379"/>
      <c r="F202" s="46"/>
      <c r="G202" s="15"/>
      <c r="H202" s="15"/>
      <c r="I202" s="15"/>
      <c r="J202" s="15"/>
      <c r="K202" s="15"/>
      <c r="L202" s="15"/>
      <c r="M202" s="15"/>
      <c r="O202" s="15"/>
      <c r="P202" s="46"/>
      <c r="Q202" s="46"/>
      <c r="R202" s="46"/>
      <c r="U202" s="46"/>
      <c r="V202" s="46"/>
      <c r="W202" s="46"/>
    </row>
    <row r="203" spans="1:24" ht="14" outlineLevel="1" x14ac:dyDescent="0.2">
      <c r="A203" s="1214"/>
      <c r="B203" s="8" t="s">
        <v>434</v>
      </c>
      <c r="D203" s="379"/>
      <c r="F203" s="46"/>
      <c r="G203" s="377">
        <f>IF(Dashboard!$E36="Yes",0.04,0.1)</f>
        <v>0.1</v>
      </c>
      <c r="H203" s="377">
        <f>IF(Dashboard!$E36="Yes",0.04,0.1)</f>
        <v>0.1</v>
      </c>
      <c r="I203" s="377">
        <f>IF(Dashboard!$E36="Yes",0.04,0.1)</f>
        <v>0.1</v>
      </c>
      <c r="J203" s="377">
        <f>IF(Dashboard!$E36="Yes",0.04,0.1)</f>
        <v>0.1</v>
      </c>
      <c r="K203" s="377">
        <f>IF(Dashboard!$E36="Yes",0.04,0.1)</f>
        <v>0.1</v>
      </c>
      <c r="L203" s="377">
        <f>IF(Dashboard!$E36="Yes",0.04,0.1)</f>
        <v>0.1</v>
      </c>
      <c r="M203" s="377">
        <f>IF(Dashboard!$E36="Yes",0.04,0.1)</f>
        <v>0.1</v>
      </c>
      <c r="O203" s="15"/>
      <c r="P203" s="46"/>
      <c r="Q203" s="46"/>
      <c r="R203" s="46"/>
      <c r="U203" s="46"/>
      <c r="V203" s="46"/>
      <c r="W203" s="46"/>
    </row>
    <row r="204" spans="1:24" ht="14" outlineLevel="1" x14ac:dyDescent="0.2">
      <c r="A204" s="1214"/>
      <c r="B204" s="8" t="s">
        <v>416</v>
      </c>
      <c r="D204" s="379"/>
      <c r="F204" s="46"/>
      <c r="G204" s="378">
        <f t="shared" ref="G204:M204" ca="1" si="75">G$227/(_Conductivity_Cu/100*G203*_Cp_Cu*_rho_Cu)^0.5</f>
        <v>1.8350802000875017</v>
      </c>
      <c r="H204" s="378">
        <f t="shared" ca="1" si="75"/>
        <v>1.8350802000875017</v>
      </c>
      <c r="I204" s="378">
        <f t="shared" ca="1" si="75"/>
        <v>1.8350802000875017</v>
      </c>
      <c r="J204" s="378">
        <f t="shared" ca="1" si="75"/>
        <v>1.8350802000875017</v>
      </c>
      <c r="K204" s="378">
        <f t="shared" ca="1" si="75"/>
        <v>1.8350802000875017</v>
      </c>
      <c r="L204" s="378">
        <f t="shared" ca="1" si="75"/>
        <v>1.8350802000875017</v>
      </c>
      <c r="M204" s="378">
        <f t="shared" ca="1" si="75"/>
        <v>1.8350802000875017</v>
      </c>
      <c r="O204" s="15"/>
      <c r="P204" s="46"/>
      <c r="Q204" s="46"/>
      <c r="R204" s="46"/>
      <c r="U204" s="46"/>
      <c r="V204" s="46"/>
      <c r="W204" s="46"/>
    </row>
    <row r="205" spans="1:24" outlineLevel="1" x14ac:dyDescent="0.15">
      <c r="A205" s="1214"/>
      <c r="B205" s="8" t="s">
        <v>417</v>
      </c>
      <c r="D205" s="379"/>
      <c r="F205" s="46"/>
      <c r="G205" s="66">
        <f t="shared" ref="G205:M205" ca="1" si="76">2*G354/10+0.5+2</f>
        <v>64.324973672811723</v>
      </c>
      <c r="H205" s="66">
        <f t="shared" ca="1" si="76"/>
        <v>64.324973672811723</v>
      </c>
      <c r="I205" s="66">
        <f t="shared" ca="1" si="76"/>
        <v>64.324973672811723</v>
      </c>
      <c r="J205" s="66">
        <f t="shared" ca="1" si="76"/>
        <v>64.324973672811723</v>
      </c>
      <c r="K205" s="66">
        <f t="shared" ca="1" si="76"/>
        <v>64.324973672811723</v>
      </c>
      <c r="L205" s="66">
        <f t="shared" ca="1" si="76"/>
        <v>64.324973672811723</v>
      </c>
      <c r="M205" s="66">
        <f t="shared" ca="1" si="76"/>
        <v>64.324973672811723</v>
      </c>
      <c r="O205" s="15"/>
      <c r="P205" s="343"/>
      <c r="Q205" s="343"/>
      <c r="R205" s="381"/>
      <c r="S205" s="382"/>
      <c r="U205" s="343"/>
      <c r="V205" s="343"/>
      <c r="W205" s="381"/>
      <c r="X205" s="382"/>
    </row>
    <row r="206" spans="1:24" ht="15.75" customHeight="1" outlineLevel="1" x14ac:dyDescent="0.15">
      <c r="A206" s="1214"/>
      <c r="B206" s="8" t="s">
        <v>428</v>
      </c>
      <c r="D206" s="379"/>
      <c r="F206" s="46"/>
      <c r="G206" s="93">
        <f t="shared" ref="G206:M206" ca="1" si="77">G205/G204/_Conductivity_Cu*100</f>
        <v>5.8813673740642121E-5</v>
      </c>
      <c r="H206" s="93">
        <f t="shared" ca="1" si="77"/>
        <v>5.8813673740642121E-5</v>
      </c>
      <c r="I206" s="93">
        <f t="shared" ca="1" si="77"/>
        <v>5.8813673740642121E-5</v>
      </c>
      <c r="J206" s="93">
        <f t="shared" ca="1" si="77"/>
        <v>5.8813673740642121E-5</v>
      </c>
      <c r="K206" s="93">
        <f t="shared" ca="1" si="77"/>
        <v>5.8813673740642121E-5</v>
      </c>
      <c r="L206" s="93">
        <f t="shared" ca="1" si="77"/>
        <v>5.8813673740642121E-5</v>
      </c>
      <c r="M206" s="93">
        <f t="shared" ca="1" si="77"/>
        <v>5.8813673740642121E-5</v>
      </c>
      <c r="N206" s="23"/>
      <c r="O206" s="15"/>
      <c r="P206" s="15"/>
      <c r="Q206" s="15"/>
      <c r="R206" s="15"/>
      <c r="S206" s="15"/>
      <c r="U206" s="15"/>
      <c r="V206" s="15"/>
      <c r="W206" s="15"/>
      <c r="X206" s="15"/>
    </row>
    <row r="207" spans="1:24" ht="15.75" customHeight="1" outlineLevel="1" x14ac:dyDescent="0.15">
      <c r="A207" s="1214"/>
      <c r="B207" s="8" t="s">
        <v>432</v>
      </c>
      <c r="D207" s="379"/>
      <c r="F207" s="46"/>
      <c r="G207" s="11">
        <f t="shared" ref="G207:M207" si="78">MAX(QUOTIENT(G28+1, 2)-1, 0)</f>
        <v>1</v>
      </c>
      <c r="H207" s="11">
        <f t="shared" si="78"/>
        <v>1</v>
      </c>
      <c r="I207" s="11">
        <f t="shared" si="78"/>
        <v>1</v>
      </c>
      <c r="J207" s="11">
        <f t="shared" si="78"/>
        <v>1</v>
      </c>
      <c r="K207" s="11">
        <f t="shared" si="78"/>
        <v>1</v>
      </c>
      <c r="L207" s="11">
        <f t="shared" si="78"/>
        <v>1</v>
      </c>
      <c r="M207" s="11">
        <f t="shared" si="78"/>
        <v>1</v>
      </c>
      <c r="N207" s="23"/>
      <c r="O207" s="15"/>
      <c r="P207" s="15"/>
      <c r="Q207" s="15"/>
      <c r="R207" s="15"/>
      <c r="S207" s="15"/>
      <c r="U207" s="15"/>
      <c r="V207" s="15"/>
      <c r="W207" s="15"/>
      <c r="X207" s="15"/>
    </row>
    <row r="208" spans="1:24" ht="14" outlineLevel="1" x14ac:dyDescent="0.2">
      <c r="A208" s="1214"/>
      <c r="B208" s="8" t="s">
        <v>435</v>
      </c>
      <c r="D208" s="379"/>
      <c r="F208" s="46"/>
      <c r="G208" s="15">
        <f t="shared" ref="G208:M208" ca="1" si="79">G206*G$293/G$31*G207</f>
        <v>1.7139288735065154E-3</v>
      </c>
      <c r="H208" s="15">
        <f t="shared" ca="1" si="79"/>
        <v>1.7139288735065154E-3</v>
      </c>
      <c r="I208" s="15">
        <f t="shared" ca="1" si="79"/>
        <v>1.7139288735065154E-3</v>
      </c>
      <c r="J208" s="15">
        <f t="shared" ca="1" si="79"/>
        <v>1.7139288735065154E-3</v>
      </c>
      <c r="K208" s="15">
        <f t="shared" ca="1" si="79"/>
        <v>1.7139288735065154E-3</v>
      </c>
      <c r="L208" s="15">
        <f t="shared" ca="1" si="79"/>
        <v>1.7139288735065154E-3</v>
      </c>
      <c r="M208" s="15">
        <f t="shared" ca="1" si="79"/>
        <v>1.7139288735065154E-3</v>
      </c>
      <c r="N208" s="15"/>
      <c r="O208" s="15"/>
    </row>
    <row r="209" spans="1:19" outlineLevel="1" x14ac:dyDescent="0.15">
      <c r="A209" s="1214"/>
      <c r="D209" s="379"/>
      <c r="F209" s="46"/>
      <c r="G209" s="15"/>
      <c r="H209" s="15"/>
      <c r="I209" s="15"/>
      <c r="J209" s="15"/>
      <c r="K209" s="15"/>
      <c r="L209" s="15"/>
      <c r="M209" s="15"/>
      <c r="N209" s="15"/>
      <c r="O209" s="15"/>
    </row>
    <row r="210" spans="1:19" ht="16" outlineLevel="1" x14ac:dyDescent="0.2">
      <c r="A210" s="1214"/>
      <c r="B210" s="5" t="s">
        <v>437</v>
      </c>
      <c r="D210" s="379"/>
      <c r="F210" s="46"/>
      <c r="G210" s="15"/>
      <c r="H210" s="15"/>
      <c r="I210" s="15"/>
      <c r="J210" s="15"/>
      <c r="K210" s="15"/>
      <c r="L210" s="15"/>
      <c r="M210" s="15"/>
      <c r="N210" s="15"/>
      <c r="O210" s="15"/>
    </row>
    <row r="211" spans="1:19" ht="14" outlineLevel="1" x14ac:dyDescent="0.2">
      <c r="A211" s="1214"/>
      <c r="B211" s="8" t="s">
        <v>434</v>
      </c>
      <c r="D211" s="379"/>
      <c r="F211" s="46"/>
      <c r="G211" s="377">
        <f>IF(Dashboard!$E36="Yes",0.04,0.1)</f>
        <v>0.1</v>
      </c>
      <c r="H211" s="377">
        <f>IF(Dashboard!$E36="Yes",0.04,0.1)</f>
        <v>0.1</v>
      </c>
      <c r="I211" s="377">
        <f>IF(Dashboard!$E36="Yes",0.04,0.1)</f>
        <v>0.1</v>
      </c>
      <c r="J211" s="377">
        <f>IF(Dashboard!$E36="Yes",0.04,0.1)</f>
        <v>0.1</v>
      </c>
      <c r="K211" s="377">
        <f>IF(Dashboard!$E36="Yes",0.04,0.1)</f>
        <v>0.1</v>
      </c>
      <c r="L211" s="377">
        <f>IF(Dashboard!$E36="Yes",0.04,0.1)</f>
        <v>0.1</v>
      </c>
      <c r="M211" s="377">
        <f>IF(Dashboard!$E36="Yes",0.04,0.1)</f>
        <v>0.1</v>
      </c>
      <c r="N211" s="15"/>
      <c r="O211" s="15"/>
    </row>
    <row r="212" spans="1:19" ht="14" outlineLevel="1" x14ac:dyDescent="0.2">
      <c r="A212" s="1214"/>
      <c r="B212" s="8" t="s">
        <v>416</v>
      </c>
      <c r="D212" s="379"/>
      <c r="F212" s="46"/>
      <c r="G212" s="378">
        <f t="shared" ref="G212:M212" ca="1" si="80">G$227/(_Conductivity_Cu/100*G211*_Cp_Cu*_rho_Cu)^0.5</f>
        <v>1.8350802000875017</v>
      </c>
      <c r="H212" s="378">
        <f t="shared" ca="1" si="80"/>
        <v>1.8350802000875017</v>
      </c>
      <c r="I212" s="378">
        <f t="shared" ca="1" si="80"/>
        <v>1.8350802000875017</v>
      </c>
      <c r="J212" s="378">
        <f t="shared" ca="1" si="80"/>
        <v>1.8350802000875017</v>
      </c>
      <c r="K212" s="378">
        <f t="shared" ca="1" si="80"/>
        <v>1.8350802000875017</v>
      </c>
      <c r="L212" s="378">
        <f t="shared" ca="1" si="80"/>
        <v>1.8350802000875017</v>
      </c>
      <c r="M212" s="378">
        <f t="shared" ca="1" si="80"/>
        <v>1.8350802000875017</v>
      </c>
      <c r="N212" s="15"/>
      <c r="O212" s="15"/>
    </row>
    <row r="213" spans="1:19" outlineLevel="1" x14ac:dyDescent="0.15">
      <c r="A213" s="1214"/>
      <c r="B213" s="8" t="s">
        <v>438</v>
      </c>
      <c r="D213" s="379"/>
      <c r="F213" s="46"/>
      <c r="G213" s="148">
        <f>12</f>
        <v>12</v>
      </c>
      <c r="H213" s="148">
        <f>12</f>
        <v>12</v>
      </c>
      <c r="I213" s="148">
        <f>12</f>
        <v>12</v>
      </c>
      <c r="J213" s="148">
        <f>12</f>
        <v>12</v>
      </c>
      <c r="K213" s="148">
        <f>12</f>
        <v>12</v>
      </c>
      <c r="L213" s="148">
        <f>12</f>
        <v>12</v>
      </c>
      <c r="M213" s="148">
        <f>12</f>
        <v>12</v>
      </c>
      <c r="N213" s="15"/>
      <c r="O213" s="15"/>
    </row>
    <row r="214" spans="1:19" outlineLevel="1" x14ac:dyDescent="0.15">
      <c r="A214" s="1214"/>
      <c r="B214" s="8" t="s">
        <v>428</v>
      </c>
      <c r="D214" s="379"/>
      <c r="F214" s="46"/>
      <c r="G214" s="93">
        <f t="shared" ref="G214:M214" ca="1" si="81">G213/G212/_Conductivity_Cu*100</f>
        <v>1.0971851904325167E-5</v>
      </c>
      <c r="H214" s="93">
        <f t="shared" ca="1" si="81"/>
        <v>1.0971851904325167E-5</v>
      </c>
      <c r="I214" s="93">
        <f t="shared" ca="1" si="81"/>
        <v>1.0971851904325167E-5</v>
      </c>
      <c r="J214" s="93">
        <f t="shared" ca="1" si="81"/>
        <v>1.0971851904325167E-5</v>
      </c>
      <c r="K214" s="93">
        <f t="shared" ca="1" si="81"/>
        <v>1.0971851904325167E-5</v>
      </c>
      <c r="L214" s="93">
        <f t="shared" ca="1" si="81"/>
        <v>1.0971851904325167E-5</v>
      </c>
      <c r="M214" s="93">
        <f t="shared" ca="1" si="81"/>
        <v>1.0971851904325167E-5</v>
      </c>
      <c r="N214" s="15"/>
      <c r="O214" s="15"/>
    </row>
    <row r="215" spans="1:19" ht="14" outlineLevel="1" x14ac:dyDescent="0.2">
      <c r="A215" s="1214"/>
      <c r="B215" s="8" t="s">
        <v>439</v>
      </c>
      <c r="D215" s="379"/>
      <c r="F215" s="46"/>
      <c r="G215" s="15">
        <f t="shared" ref="G215:M215" ca="1" si="82">2*G214*G$293/G$31</f>
        <v>6.3947625028788204E-4</v>
      </c>
      <c r="H215" s="15">
        <f t="shared" ca="1" si="82"/>
        <v>6.3947625028788204E-4</v>
      </c>
      <c r="I215" s="15">
        <f t="shared" ca="1" si="82"/>
        <v>6.3947625028788204E-4</v>
      </c>
      <c r="J215" s="15">
        <f t="shared" ca="1" si="82"/>
        <v>6.3947625028788204E-4</v>
      </c>
      <c r="K215" s="15">
        <f t="shared" ca="1" si="82"/>
        <v>6.3947625028788204E-4</v>
      </c>
      <c r="L215" s="15">
        <f t="shared" ca="1" si="82"/>
        <v>6.3947625028788204E-4</v>
      </c>
      <c r="M215" s="15">
        <f t="shared" ca="1" si="82"/>
        <v>6.3947625028788204E-4</v>
      </c>
      <c r="N215" s="15"/>
      <c r="O215" s="15"/>
    </row>
    <row r="216" spans="1:19" ht="14" outlineLevel="1" thickBot="1" x14ac:dyDescent="0.2">
      <c r="A216" s="1214"/>
      <c r="D216" s="379"/>
      <c r="F216" s="46"/>
      <c r="G216" s="15"/>
      <c r="H216" s="15"/>
      <c r="I216" s="15"/>
      <c r="J216" s="15"/>
      <c r="K216" s="15"/>
      <c r="L216" s="15"/>
      <c r="M216" s="15"/>
      <c r="N216" s="15"/>
      <c r="O216" s="15"/>
    </row>
    <row r="217" spans="1:19" ht="19" thickBot="1" x14ac:dyDescent="0.25">
      <c r="A217" s="1214"/>
      <c r="B217" s="1310" t="s">
        <v>440</v>
      </c>
      <c r="C217" s="1311"/>
      <c r="D217" s="1311"/>
      <c r="E217" s="1311"/>
      <c r="F217" s="1311"/>
      <c r="G217" s="1311"/>
      <c r="H217" s="1311"/>
      <c r="I217" s="1311"/>
      <c r="J217" s="1311"/>
      <c r="K217" s="1311"/>
      <c r="L217" s="1311"/>
      <c r="M217" s="1312"/>
      <c r="N217" s="46"/>
      <c r="O217" s="46"/>
      <c r="P217" s="46"/>
      <c r="Q217" s="46"/>
      <c r="R217" s="46"/>
      <c r="S217" s="46"/>
    </row>
    <row r="218" spans="1:19" x14ac:dyDescent="0.15">
      <c r="A218" s="1214"/>
      <c r="N218" s="11"/>
      <c r="O218" s="46"/>
      <c r="P218" s="46"/>
      <c r="Q218" s="46"/>
      <c r="R218" s="46"/>
      <c r="S218" s="46"/>
    </row>
    <row r="219" spans="1:19" ht="16" outlineLevel="1" x14ac:dyDescent="0.2">
      <c r="A219" s="1214"/>
      <c r="B219" s="5" t="s">
        <v>441</v>
      </c>
      <c r="N219" s="10"/>
    </row>
    <row r="220" spans="1:19" outlineLevel="1" x14ac:dyDescent="0.15">
      <c r="A220" s="1214"/>
      <c r="B220" s="8" t="s">
        <v>442</v>
      </c>
      <c r="F220" s="46"/>
      <c r="G220" s="46">
        <f>Chem!$C$70</f>
        <v>100</v>
      </c>
      <c r="H220" s="46">
        <f>Chem!$C$70</f>
        <v>100</v>
      </c>
      <c r="I220" s="46">
        <f>Chem!$C$70</f>
        <v>100</v>
      </c>
      <c r="J220" s="46">
        <f>Chem!$C$70</f>
        <v>100</v>
      </c>
      <c r="K220" s="46">
        <f>Chem!$C$70</f>
        <v>100</v>
      </c>
      <c r="L220" s="46">
        <f>Chem!$C$70</f>
        <v>100</v>
      </c>
      <c r="M220" s="46">
        <f>Chem!$C$70</f>
        <v>100</v>
      </c>
      <c r="N220" s="101"/>
    </row>
    <row r="221" spans="1:19" outlineLevel="1" x14ac:dyDescent="0.15">
      <c r="A221" s="1214"/>
      <c r="B221" s="8" t="s">
        <v>443</v>
      </c>
      <c r="F221" s="46"/>
      <c r="G221" s="15">
        <f>Chem!$C$143</f>
        <v>120</v>
      </c>
      <c r="H221" s="15">
        <f>Chem!$C$143</f>
        <v>120</v>
      </c>
      <c r="I221" s="15">
        <f>Chem!$C$143</f>
        <v>120</v>
      </c>
      <c r="J221" s="15">
        <f>Chem!$C$143</f>
        <v>120</v>
      </c>
      <c r="K221" s="15">
        <f>Chem!$C$143</f>
        <v>120</v>
      </c>
      <c r="L221" s="15">
        <f>Chem!$C$143</f>
        <v>120</v>
      </c>
      <c r="M221" s="15">
        <f>Chem!$C$143</f>
        <v>120</v>
      </c>
      <c r="N221" s="66"/>
      <c r="O221" s="171"/>
    </row>
    <row r="222" spans="1:19" ht="14" outlineLevel="1" x14ac:dyDescent="0.2">
      <c r="A222" s="1214"/>
      <c r="B222" s="8" t="s">
        <v>444</v>
      </c>
      <c r="F222" s="46"/>
      <c r="G222" s="15">
        <f ca="1">8.314*298.15/(Chem!$C$56/1000)/Chem!$C$55/96485/(G283*10^-4)</f>
        <v>0.8626699085338575</v>
      </c>
      <c r="H222" s="15">
        <f ca="1">8.314*298.15/(Chem!$C$56/1000)/Chem!$C$55/96485/(H283*10^-4)</f>
        <v>0.8626699085338575</v>
      </c>
      <c r="I222" s="15">
        <f ca="1">8.314*298.15/(Chem!$C$56/1000)/Chem!$C$55/96485/(I283*10^-4)</f>
        <v>0.8626699085338575</v>
      </c>
      <c r="J222" s="15">
        <f ca="1">8.314*298.15/(Chem!$C$56/1000)/Chem!$C$55/96485/(J283*10^-4)</f>
        <v>0.8626699085338575</v>
      </c>
      <c r="K222" s="15">
        <f ca="1">8.314*298.15/(Chem!$C$56/1000)/Chem!$C$55/96485/(K283*10^-4)</f>
        <v>0.8626699085338575</v>
      </c>
      <c r="L222" s="15">
        <f ca="1">8.314*298.15/(Chem!$C$56/1000)/Chem!$C$55/96485/(L283*10^-4)</f>
        <v>0.8626699085338575</v>
      </c>
      <c r="M222" s="15">
        <f ca="1">8.314*298.15/(Chem!$C$56/1000)/Chem!$C$55/96485/(M283*10^-4)</f>
        <v>0.8626699085338575</v>
      </c>
      <c r="N222" s="66"/>
      <c r="O222" s="171"/>
    </row>
    <row r="223" spans="1:19" ht="14" outlineLevel="1" x14ac:dyDescent="0.2">
      <c r="A223" s="1214"/>
      <c r="B223" s="8" t="s">
        <v>445</v>
      </c>
      <c r="G223" s="15">
        <f ca="1">8.314*298.15/(Chem!$C$26/1000)/Chem!$C$25/(G282*10^-4)/96485*((1-(G371/G221)^2)*(1-G370/G220))^-0.5</f>
        <v>0.23515015813665954</v>
      </c>
      <c r="H223" s="15">
        <f ca="1">8.314*298.15/(Chem!$C$26/1000)/Chem!$C$25/(H282*10^-4)/96485*((1-(H371/H221)^2)*(1-H370/H220))^-0.5</f>
        <v>0.23515015813665954</v>
      </c>
      <c r="I223" s="15">
        <f ca="1">8.314*298.15/(Chem!$C$26/1000)/Chem!$C$25/(I282*10^-4)/96485*((1-(I371/I221)^2)*(1-I370/I220))^-0.5</f>
        <v>0.23515015813665954</v>
      </c>
      <c r="J223" s="15">
        <f ca="1">8.314*298.15/(Chem!$C$26/1000)/Chem!$C$25/(J282*10^-4)/96485*((1-(J371/J221)^2)*(1-J370/J220))^-0.5</f>
        <v>0.23515015813665954</v>
      </c>
      <c r="K223" s="15">
        <f ca="1">8.314*298.15/(Chem!$C$26/1000)/Chem!$C$25/(K282*10^-4)/96485*((1-(K371/K221)^2)*(1-K370/K220))^-0.5</f>
        <v>0.23515015813665954</v>
      </c>
      <c r="L223" s="15">
        <f ca="1">8.314*298.15/(Chem!$C$26/1000)/Chem!$C$25/(L282*10^-4)/96485*((1-(L371/L221)^2)*(1-L370/L220))^-0.5</f>
        <v>0.23515015813665954</v>
      </c>
      <c r="M223" s="15">
        <f ca="1">8.314*298.15/(Chem!$C$26/1000)/Chem!$C$25/(M282*10^-4)/96485*((1-(M371/M221)^2)*(1-M370/M220))^-0.5</f>
        <v>0.23515015813665954</v>
      </c>
      <c r="N223" s="66"/>
      <c r="O223" s="171"/>
    </row>
    <row r="224" spans="1:19" outlineLevel="1" x14ac:dyDescent="0.15">
      <c r="A224" s="1214"/>
      <c r="B224" s="8" t="s">
        <v>446</v>
      </c>
      <c r="D224" s="46"/>
      <c r="F224" s="46"/>
      <c r="G224" s="15">
        <f ca="1">(G151-(Chem!$C$141 + Chem!$C$142)+G222+G223)*G116</f>
        <v>9.7208392216895092</v>
      </c>
      <c r="H224" s="15">
        <f ca="1">(H151-(Chem!$C$141 + Chem!$C$142)+H222+H223)*H116</f>
        <v>9.7208392216895092</v>
      </c>
      <c r="I224" s="15">
        <f ca="1">(I151-(Chem!$C$141 + Chem!$C$142)+I222+I223)*I116</f>
        <v>9.7208392216895092</v>
      </c>
      <c r="J224" s="15">
        <f ca="1">(J151-(Chem!$C$141 + Chem!$C$142)+J222+J223)*J116</f>
        <v>9.7208392216895092</v>
      </c>
      <c r="K224" s="15">
        <f ca="1">(K151-(Chem!$C$141 + Chem!$C$142)+K222+K223)*K116</f>
        <v>9.7208392216895092</v>
      </c>
      <c r="L224" s="15">
        <f ca="1">(L151-(Chem!$C$141 + Chem!$C$142)+L222+L223)*L116</f>
        <v>9.7208392216895092</v>
      </c>
      <c r="M224" s="15">
        <f ca="1">(M151-(Chem!$C$141 + Chem!$C$142)+M222+M223)*M116</f>
        <v>9.7208392216895092</v>
      </c>
    </row>
    <row r="225" spans="1:18" outlineLevel="1" x14ac:dyDescent="0.15">
      <c r="A225" s="1214"/>
      <c r="B225" s="8" t="s">
        <v>447</v>
      </c>
      <c r="D225" s="156"/>
      <c r="F225" s="46"/>
      <c r="G225" s="15">
        <f t="shared" ref="G225:M225" ca="1" si="83">G369/(G26*G30)</f>
        <v>208.14841964397618</v>
      </c>
      <c r="H225" s="15">
        <f t="shared" ca="1" si="83"/>
        <v>208.14841964397618</v>
      </c>
      <c r="I225" s="15">
        <f t="shared" ca="1" si="83"/>
        <v>208.14841964397618</v>
      </c>
      <c r="J225" s="15">
        <f t="shared" ca="1" si="83"/>
        <v>208.14841964397618</v>
      </c>
      <c r="K225" s="15">
        <f t="shared" ca="1" si="83"/>
        <v>208.14841964397618</v>
      </c>
      <c r="L225" s="15">
        <f t="shared" ca="1" si="83"/>
        <v>208.14841964397618</v>
      </c>
      <c r="M225" s="15">
        <f t="shared" ca="1" si="83"/>
        <v>208.14841964397618</v>
      </c>
      <c r="N225" s="46"/>
      <c r="O225" s="46"/>
      <c r="R225" s="112"/>
    </row>
    <row r="226" spans="1:18" outlineLevel="1" x14ac:dyDescent="0.15">
      <c r="A226" s="1214"/>
      <c r="B226" s="8" t="s">
        <v>448</v>
      </c>
      <c r="D226" s="156"/>
      <c r="F226" s="46"/>
      <c r="G226" s="15">
        <f t="shared" ref="G226:M226" ca="1" si="84">G225*G26</f>
        <v>416.29683928795237</v>
      </c>
      <c r="H226" s="15">
        <f t="shared" ca="1" si="84"/>
        <v>416.29683928795237</v>
      </c>
      <c r="I226" s="15">
        <f t="shared" ca="1" si="84"/>
        <v>416.29683928795237</v>
      </c>
      <c r="J226" s="15">
        <f t="shared" ca="1" si="84"/>
        <v>416.29683928795237</v>
      </c>
      <c r="K226" s="15">
        <f t="shared" ca="1" si="84"/>
        <v>416.29683928795237</v>
      </c>
      <c r="L226" s="15">
        <f t="shared" ca="1" si="84"/>
        <v>416.29683928795237</v>
      </c>
      <c r="M226" s="15">
        <f t="shared" ca="1" si="84"/>
        <v>416.29683928795237</v>
      </c>
      <c r="N226" s="46"/>
      <c r="O226" s="46"/>
      <c r="R226" s="112"/>
    </row>
    <row r="227" spans="1:18" outlineLevel="1" x14ac:dyDescent="0.15">
      <c r="A227" s="1214"/>
      <c r="B227" s="8" t="s">
        <v>449</v>
      </c>
      <c r="D227" s="156"/>
      <c r="F227" s="46"/>
      <c r="G227" s="15">
        <f t="shared" ref="G227:M227" ca="1" si="85">G369</f>
        <v>832.59367857590473</v>
      </c>
      <c r="H227" s="15">
        <f t="shared" ca="1" si="85"/>
        <v>832.59367857590473</v>
      </c>
      <c r="I227" s="15">
        <f t="shared" ca="1" si="85"/>
        <v>832.59367857590473</v>
      </c>
      <c r="J227" s="15">
        <f t="shared" ca="1" si="85"/>
        <v>832.59367857590473</v>
      </c>
      <c r="K227" s="15">
        <f t="shared" ca="1" si="85"/>
        <v>832.59367857590473</v>
      </c>
      <c r="L227" s="15">
        <f t="shared" ca="1" si="85"/>
        <v>832.59367857590473</v>
      </c>
      <c r="M227" s="15">
        <f t="shared" ca="1" si="85"/>
        <v>832.59367857590473</v>
      </c>
      <c r="N227" s="15"/>
      <c r="O227" s="15"/>
    </row>
    <row r="228" spans="1:18" outlineLevel="1" x14ac:dyDescent="0.15">
      <c r="A228" s="1214"/>
      <c r="D228" s="156"/>
      <c r="F228" s="46"/>
      <c r="G228" s="15"/>
      <c r="H228" s="15"/>
      <c r="I228" s="15"/>
      <c r="J228" s="15"/>
      <c r="K228" s="15"/>
      <c r="L228" s="15"/>
      <c r="M228" s="15"/>
      <c r="N228" s="15"/>
      <c r="O228" s="15"/>
    </row>
    <row r="229" spans="1:18" ht="16" outlineLevel="1" x14ac:dyDescent="0.2">
      <c r="A229" s="1214"/>
      <c r="B229" s="5" t="s">
        <v>450</v>
      </c>
      <c r="C229" s="32"/>
      <c r="D229" s="46"/>
      <c r="F229" s="46"/>
      <c r="G229" s="15"/>
      <c r="H229" s="15"/>
      <c r="I229" s="15"/>
      <c r="J229" s="15"/>
      <c r="K229" s="15"/>
      <c r="L229" s="15"/>
      <c r="M229" s="15"/>
      <c r="N229" s="15"/>
      <c r="O229" s="15"/>
    </row>
    <row r="230" spans="1:18" outlineLevel="1" x14ac:dyDescent="0.15">
      <c r="A230" s="1214"/>
      <c r="B230" s="8" t="s">
        <v>451</v>
      </c>
      <c r="F230" s="78"/>
      <c r="G230" s="334">
        <f t="shared" ref="G230:M230" ca="1" si="86">G231+G232</f>
        <v>1.1063484910782191</v>
      </c>
      <c r="H230" s="334">
        <f t="shared" ca="1" si="86"/>
        <v>1.1063484910782191</v>
      </c>
      <c r="I230" s="334">
        <f t="shared" ca="1" si="86"/>
        <v>1.1063484910782191</v>
      </c>
      <c r="J230" s="334">
        <f t="shared" ca="1" si="86"/>
        <v>1.1063484910782191</v>
      </c>
      <c r="K230" s="334">
        <f t="shared" ca="1" si="86"/>
        <v>1.1063484910782191</v>
      </c>
      <c r="L230" s="334">
        <f t="shared" ca="1" si="86"/>
        <v>1.1063484910782191</v>
      </c>
      <c r="M230" s="334">
        <f t="shared" ca="1" si="86"/>
        <v>1.1063484910782191</v>
      </c>
      <c r="N230" s="15"/>
      <c r="O230" s="15"/>
    </row>
    <row r="231" spans="1:18" ht="14" outlineLevel="1" x14ac:dyDescent="0.2">
      <c r="A231" s="1214" t="s">
        <v>352</v>
      </c>
      <c r="B231" s="8" t="s">
        <v>452</v>
      </c>
      <c r="F231" s="78"/>
      <c r="G231" s="386">
        <f t="shared" ref="G231:M231" ca="1" si="87">G293/G302*(G304/10/3+G308/10)/G303*10/$E63*10000/_Conductivity_Al*100</f>
        <v>0.60016720329086126</v>
      </c>
      <c r="H231" s="386">
        <f t="shared" ca="1" si="87"/>
        <v>0.60016720329086126</v>
      </c>
      <c r="I231" s="386">
        <f t="shared" ca="1" si="87"/>
        <v>0.60016720329086126</v>
      </c>
      <c r="J231" s="386">
        <f t="shared" ca="1" si="87"/>
        <v>0.60016720329086126</v>
      </c>
      <c r="K231" s="386">
        <f t="shared" ca="1" si="87"/>
        <v>0.60016720329086126</v>
      </c>
      <c r="L231" s="386">
        <f t="shared" ca="1" si="87"/>
        <v>0.60016720329086126</v>
      </c>
      <c r="M231" s="386">
        <f t="shared" ca="1" si="87"/>
        <v>0.60016720329086126</v>
      </c>
      <c r="N231" s="15"/>
      <c r="O231" s="15"/>
    </row>
    <row r="232" spans="1:18" ht="14" outlineLevel="1" x14ac:dyDescent="0.2">
      <c r="A232" s="1214"/>
      <c r="B232" s="8" t="s">
        <v>453</v>
      </c>
      <c r="F232" s="78"/>
      <c r="G232" s="386">
        <f t="shared" ref="G232:M232" ca="1" si="88">G293/G302*(G304/10/3+G308/10)/G303*10/$E64*10000*IF($D64="Al",1/_Conductivity_Al*100,1/_Conductivity_Cu*100)</f>
        <v>0.50618128778669957</v>
      </c>
      <c r="H232" s="386">
        <f t="shared" ca="1" si="88"/>
        <v>0.50618128778669957</v>
      </c>
      <c r="I232" s="386">
        <f t="shared" ca="1" si="88"/>
        <v>0.50618128778669957</v>
      </c>
      <c r="J232" s="386">
        <f t="shared" ca="1" si="88"/>
        <v>0.50618128778669957</v>
      </c>
      <c r="K232" s="386">
        <f t="shared" ca="1" si="88"/>
        <v>0.50618128778669957</v>
      </c>
      <c r="L232" s="386">
        <f t="shared" ca="1" si="88"/>
        <v>0.50618128778669957</v>
      </c>
      <c r="M232" s="386">
        <f t="shared" ca="1" si="88"/>
        <v>0.50618128778669957</v>
      </c>
      <c r="N232" s="15"/>
      <c r="O232" s="15"/>
    </row>
    <row r="233" spans="1:18" ht="14" outlineLevel="1" x14ac:dyDescent="0.2">
      <c r="A233" s="1214"/>
      <c r="B233" s="8" t="s">
        <v>454</v>
      </c>
      <c r="F233" s="78"/>
      <c r="G233" s="386">
        <f t="shared" ref="G233:M233" ca="1" si="89">G293*G99/10/G97*10/G90*10/_Conductivity_Al*100</f>
        <v>0.25622673911636418</v>
      </c>
      <c r="H233" s="386">
        <f t="shared" ca="1" si="89"/>
        <v>0.25622673911636418</v>
      </c>
      <c r="I233" s="386">
        <f t="shared" ca="1" si="89"/>
        <v>0.25622673911636418</v>
      </c>
      <c r="J233" s="386">
        <f t="shared" ca="1" si="89"/>
        <v>0.25622673911636418</v>
      </c>
      <c r="K233" s="386">
        <f t="shared" ca="1" si="89"/>
        <v>0.25622673911636418</v>
      </c>
      <c r="L233" s="386">
        <f t="shared" ca="1" si="89"/>
        <v>0.25622673911636418</v>
      </c>
      <c r="M233" s="386">
        <f t="shared" ca="1" si="89"/>
        <v>0.25622673911636418</v>
      </c>
      <c r="N233" s="15"/>
      <c r="O233" s="15"/>
    </row>
    <row r="234" spans="1:18" ht="14" outlineLevel="1" x14ac:dyDescent="0.2">
      <c r="A234" s="1214"/>
      <c r="B234" s="8" t="s">
        <v>455</v>
      </c>
      <c r="F234" s="78"/>
      <c r="G234" s="386">
        <f t="shared" ref="G234:M234" ca="1" si="90">G293*G99/10/G97*10/G91*10*IF($D64="Cu",1/_Conductivity_Cu*100,1/_Conductivity_Al*100)</f>
        <v>0.24311446471527506</v>
      </c>
      <c r="H234" s="386">
        <f t="shared" ca="1" si="90"/>
        <v>0.24311446471527506</v>
      </c>
      <c r="I234" s="386">
        <f t="shared" ca="1" si="90"/>
        <v>0.24311446471527506</v>
      </c>
      <c r="J234" s="386">
        <f t="shared" ca="1" si="90"/>
        <v>0.24311446471527506</v>
      </c>
      <c r="K234" s="386">
        <f t="shared" ca="1" si="90"/>
        <v>0.24311446471527506</v>
      </c>
      <c r="L234" s="386">
        <f t="shared" ca="1" si="90"/>
        <v>0.24311446471527506</v>
      </c>
      <c r="M234" s="386">
        <f t="shared" ca="1" si="90"/>
        <v>0.24311446471527506</v>
      </c>
      <c r="N234" s="15"/>
      <c r="O234" s="15"/>
    </row>
    <row r="235" spans="1:18" outlineLevel="1" x14ac:dyDescent="0.15">
      <c r="A235" s="1214"/>
      <c r="F235" s="78"/>
      <c r="G235" s="386"/>
      <c r="H235" s="386"/>
      <c r="I235" s="386"/>
      <c r="J235" s="386"/>
      <c r="K235" s="386"/>
      <c r="L235" s="386"/>
      <c r="M235" s="386"/>
      <c r="N235" s="15"/>
      <c r="O235" s="15"/>
    </row>
    <row r="236" spans="1:18" ht="16" outlineLevel="1" x14ac:dyDescent="0.2">
      <c r="A236" s="1214"/>
      <c r="B236" s="5" t="s">
        <v>456</v>
      </c>
      <c r="D236" s="379"/>
      <c r="F236" s="46"/>
      <c r="G236" s="15"/>
      <c r="H236" s="15"/>
      <c r="I236" s="15"/>
      <c r="J236" s="15"/>
      <c r="K236" s="15"/>
      <c r="L236" s="15"/>
      <c r="M236" s="15"/>
      <c r="N236" s="15"/>
      <c r="O236" s="15"/>
    </row>
    <row r="237" spans="1:18" outlineLevel="1" x14ac:dyDescent="0.15">
      <c r="A237" s="1214"/>
      <c r="B237" s="9" t="s">
        <v>457</v>
      </c>
      <c r="D237" s="379"/>
      <c r="F237" s="127"/>
      <c r="G237" s="10">
        <f t="shared" ref="G237:M237" ca="1" si="91">G231+G232+G233+G234+G169+G177+G184+ G192 + G200+G208+G215</f>
        <v>1.7630279100582531</v>
      </c>
      <c r="H237" s="10">
        <f t="shared" ca="1" si="91"/>
        <v>1.7630279100582531</v>
      </c>
      <c r="I237" s="10">
        <f t="shared" ca="1" si="91"/>
        <v>1.7630279100582531</v>
      </c>
      <c r="J237" s="10">
        <f t="shared" ca="1" si="91"/>
        <v>1.7630279100582531</v>
      </c>
      <c r="K237" s="10">
        <f t="shared" ca="1" si="91"/>
        <v>1.7630279100582531</v>
      </c>
      <c r="L237" s="10">
        <f t="shared" ca="1" si="91"/>
        <v>1.7630279100582531</v>
      </c>
      <c r="M237" s="10">
        <f t="shared" ca="1" si="91"/>
        <v>1.7630279100582531</v>
      </c>
      <c r="N237" s="15"/>
      <c r="O237" s="15"/>
    </row>
    <row r="238" spans="1:18" outlineLevel="1" x14ac:dyDescent="0.15">
      <c r="A238" s="1214"/>
      <c r="B238" s="8" t="s">
        <v>458</v>
      </c>
      <c r="D238" s="66"/>
      <c r="G238" s="15">
        <f t="shared" ref="G238:M238" ca="1" si="92">G224+G237</f>
        <v>11.483867131747763</v>
      </c>
      <c r="H238" s="15">
        <f t="shared" ca="1" si="92"/>
        <v>11.483867131747763</v>
      </c>
      <c r="I238" s="15">
        <f t="shared" ca="1" si="92"/>
        <v>11.483867131747763</v>
      </c>
      <c r="J238" s="15">
        <f t="shared" ca="1" si="92"/>
        <v>11.483867131747763</v>
      </c>
      <c r="K238" s="15">
        <f t="shared" ca="1" si="92"/>
        <v>11.483867131747763</v>
      </c>
      <c r="L238" s="15">
        <f t="shared" ca="1" si="92"/>
        <v>11.483867131747763</v>
      </c>
      <c r="M238" s="15">
        <f t="shared" ca="1" si="92"/>
        <v>11.483867131747763</v>
      </c>
      <c r="N238" s="15"/>
      <c r="O238" s="15"/>
    </row>
    <row r="239" spans="1:18" outlineLevel="1" x14ac:dyDescent="0.15">
      <c r="A239" s="1214"/>
      <c r="B239" s="8" t="s">
        <v>459</v>
      </c>
      <c r="D239" s="11"/>
      <c r="G239" s="15">
        <f t="shared" ref="G239:M239" ca="1" si="93">G158 + G237</f>
        <v>12.832584454252419</v>
      </c>
      <c r="H239" s="15">
        <f t="shared" ca="1" si="93"/>
        <v>12.832584454252419</v>
      </c>
      <c r="I239" s="15">
        <f t="shared" ca="1" si="93"/>
        <v>12.832584454252419</v>
      </c>
      <c r="J239" s="15">
        <f t="shared" ca="1" si="93"/>
        <v>12.832584454252419</v>
      </c>
      <c r="K239" s="15">
        <f t="shared" ca="1" si="93"/>
        <v>12.832584454252419</v>
      </c>
      <c r="L239" s="15">
        <f t="shared" ca="1" si="93"/>
        <v>12.832584454252419</v>
      </c>
      <c r="M239" s="15">
        <f t="shared" ca="1" si="93"/>
        <v>12.832584454252419</v>
      </c>
      <c r="N239" s="15"/>
      <c r="O239" s="15"/>
    </row>
    <row r="240" spans="1:18" ht="14" thickBot="1" x14ac:dyDescent="0.2">
      <c r="A240" s="1214"/>
      <c r="F240" s="78"/>
      <c r="G240" s="386"/>
      <c r="H240" s="386"/>
      <c r="I240" s="386"/>
      <c r="J240" s="386"/>
      <c r="K240" s="386"/>
      <c r="L240" s="386"/>
      <c r="M240" s="386"/>
      <c r="N240" s="15"/>
      <c r="O240" s="15"/>
    </row>
    <row r="241" spans="1:15" ht="19" thickBot="1" x14ac:dyDescent="0.25">
      <c r="A241" s="1214"/>
      <c r="B241" s="1310" t="s">
        <v>460</v>
      </c>
      <c r="C241" s="1311"/>
      <c r="D241" s="1311"/>
      <c r="E241" s="1311"/>
      <c r="F241" s="1311"/>
      <c r="G241" s="1311"/>
      <c r="H241" s="1311"/>
      <c r="I241" s="1311"/>
      <c r="J241" s="1311"/>
      <c r="K241" s="1311"/>
      <c r="L241" s="1311"/>
      <c r="M241" s="1312"/>
      <c r="N241" s="15"/>
      <c r="O241" s="15"/>
    </row>
    <row r="242" spans="1:15" x14ac:dyDescent="0.15">
      <c r="A242" s="1214"/>
      <c r="D242" s="379"/>
      <c r="F242" s="46"/>
      <c r="G242" s="15"/>
      <c r="H242" s="15"/>
      <c r="I242" s="15"/>
      <c r="J242" s="15"/>
      <c r="K242" s="15"/>
      <c r="L242" s="15"/>
      <c r="M242" s="15"/>
      <c r="N242" s="15"/>
      <c r="O242" s="15"/>
    </row>
    <row r="243" spans="1:15" ht="16" x14ac:dyDescent="0.2">
      <c r="A243" s="1214"/>
      <c r="B243" s="5" t="s">
        <v>461</v>
      </c>
      <c r="D243" s="379"/>
      <c r="F243" s="46"/>
      <c r="G243" s="15"/>
      <c r="H243" s="15"/>
      <c r="I243" s="15"/>
      <c r="J243" s="15"/>
      <c r="K243" s="15"/>
      <c r="L243" s="15"/>
      <c r="M243" s="15"/>
      <c r="N243" s="15"/>
      <c r="O243" s="15"/>
    </row>
    <row r="244" spans="1:15" x14ac:dyDescent="0.15">
      <c r="A244" s="1214"/>
      <c r="B244" s="8" t="s">
        <v>462</v>
      </c>
      <c r="F244" s="15"/>
      <c r="G244" s="149">
        <v>350</v>
      </c>
      <c r="H244" s="149">
        <v>350</v>
      </c>
      <c r="I244" s="149">
        <v>350</v>
      </c>
      <c r="J244" s="149">
        <v>350</v>
      </c>
      <c r="K244" s="149">
        <v>350</v>
      </c>
      <c r="L244" s="149">
        <v>350</v>
      </c>
      <c r="M244" s="149">
        <v>350</v>
      </c>
      <c r="N244" s="15"/>
      <c r="O244" s="15"/>
    </row>
    <row r="245" spans="1:15" x14ac:dyDescent="0.15">
      <c r="B245" s="8" t="s">
        <v>463</v>
      </c>
      <c r="G245" s="377">
        <v>480</v>
      </c>
      <c r="H245" s="377">
        <v>480</v>
      </c>
      <c r="I245" s="377">
        <v>480</v>
      </c>
      <c r="J245" s="377">
        <v>480</v>
      </c>
      <c r="K245" s="377">
        <v>480</v>
      </c>
      <c r="L245" s="377">
        <v>480</v>
      </c>
      <c r="M245" s="377">
        <v>480</v>
      </c>
    </row>
    <row r="246" spans="1:15" x14ac:dyDescent="0.15">
      <c r="B246" s="8" t="s">
        <v>464</v>
      </c>
      <c r="G246" s="15">
        <f>G244*1000/G245</f>
        <v>729.16666666666663</v>
      </c>
      <c r="H246" s="15">
        <f t="shared" ref="H246:M246" si="94">H244*1000/H245</f>
        <v>729.16666666666663</v>
      </c>
      <c r="I246" s="15">
        <f t="shared" si="94"/>
        <v>729.16666666666663</v>
      </c>
      <c r="J246" s="15">
        <f t="shared" si="94"/>
        <v>729.16666666666663</v>
      </c>
      <c r="K246" s="15">
        <f t="shared" si="94"/>
        <v>729.16666666666663</v>
      </c>
      <c r="L246" s="15">
        <f t="shared" si="94"/>
        <v>729.16666666666663</v>
      </c>
      <c r="M246" s="15">
        <f t="shared" si="94"/>
        <v>729.16666666666663</v>
      </c>
    </row>
    <row r="247" spans="1:15" x14ac:dyDescent="0.15">
      <c r="A247" s="1214"/>
      <c r="B247" s="8" t="s">
        <v>465</v>
      </c>
      <c r="G247" s="11">
        <f t="shared" ref="G247:M247" ca="1" si="95">G38*0.8/(G254/60)</f>
        <v>217.40708238783961</v>
      </c>
      <c r="H247" s="11">
        <f t="shared" ca="1" si="95"/>
        <v>217.40708238783961</v>
      </c>
      <c r="I247" s="11">
        <f t="shared" ca="1" si="95"/>
        <v>217.40708238783961</v>
      </c>
      <c r="J247" s="11">
        <f t="shared" ca="1" si="95"/>
        <v>217.40708238783961</v>
      </c>
      <c r="K247" s="11">
        <f t="shared" ca="1" si="95"/>
        <v>217.40708238783961</v>
      </c>
      <c r="L247" s="11">
        <f t="shared" ca="1" si="95"/>
        <v>217.40708238783961</v>
      </c>
      <c r="M247" s="11">
        <f t="shared" ca="1" si="95"/>
        <v>217.40708238783961</v>
      </c>
      <c r="N247" s="15"/>
      <c r="O247" s="15"/>
    </row>
    <row r="248" spans="1:15" x14ac:dyDescent="0.15">
      <c r="A248" s="1214"/>
      <c r="D248" s="379"/>
      <c r="F248" s="46"/>
      <c r="G248" s="15"/>
      <c r="H248" s="15"/>
      <c r="I248" s="15"/>
      <c r="J248" s="15"/>
      <c r="K248" s="15"/>
      <c r="L248" s="15"/>
      <c r="M248" s="15"/>
      <c r="N248" s="15"/>
      <c r="O248" s="15"/>
    </row>
    <row r="249" spans="1:15" ht="16" x14ac:dyDescent="0.2">
      <c r="A249" s="1214"/>
      <c r="B249" s="5" t="s">
        <v>466</v>
      </c>
      <c r="D249" s="379"/>
      <c r="F249" s="46"/>
      <c r="G249" s="15"/>
      <c r="H249" s="15"/>
      <c r="I249" s="15"/>
      <c r="J249" s="15"/>
      <c r="K249" s="15"/>
      <c r="L249" s="15"/>
      <c r="M249" s="15"/>
      <c r="N249" s="15"/>
      <c r="O249" s="15"/>
    </row>
    <row r="250" spans="1:15" x14ac:dyDescent="0.15">
      <c r="A250" s="1214"/>
      <c r="B250" s="8" t="s">
        <v>467</v>
      </c>
      <c r="G250" s="174">
        <f>Chem!$C$93</f>
        <v>9</v>
      </c>
      <c r="H250" s="174">
        <f>Chem!$C$93</f>
        <v>9</v>
      </c>
      <c r="I250" s="174">
        <f>Chem!$C$93</f>
        <v>9</v>
      </c>
      <c r="J250" s="174">
        <f>Chem!$C$93</f>
        <v>9</v>
      </c>
      <c r="K250" s="174">
        <f>Chem!$C$93</f>
        <v>9</v>
      </c>
      <c r="L250" s="174">
        <f>Chem!$C$93</f>
        <v>9</v>
      </c>
      <c r="M250" s="174">
        <f>Chem!$C$93</f>
        <v>9</v>
      </c>
      <c r="N250" s="15"/>
      <c r="O250" s="15"/>
    </row>
    <row r="251" spans="1:15" x14ac:dyDescent="0.15">
      <c r="A251" s="1214"/>
      <c r="B251" s="8" t="s">
        <v>468</v>
      </c>
      <c r="F251" s="133"/>
      <c r="G251" s="174">
        <f>Dashboard!D40</f>
        <v>300</v>
      </c>
      <c r="H251" s="174">
        <f>Dashboard!E40</f>
        <v>300</v>
      </c>
      <c r="I251" s="174">
        <f>Dashboard!F40</f>
        <v>300</v>
      </c>
      <c r="J251" s="174">
        <f>Dashboard!G40</f>
        <v>300</v>
      </c>
      <c r="K251" s="174">
        <f>Dashboard!H40</f>
        <v>300</v>
      </c>
      <c r="L251" s="174">
        <f>Dashboard!I40</f>
        <v>300</v>
      </c>
      <c r="M251" s="174">
        <f>Dashboard!J40</f>
        <v>300</v>
      </c>
      <c r="N251" s="15"/>
      <c r="O251" s="15"/>
    </row>
    <row r="252" spans="1:15" x14ac:dyDescent="0.15">
      <c r="A252" s="1214"/>
      <c r="B252" s="8" t="s">
        <v>121</v>
      </c>
      <c r="G252" s="15">
        <f ca="1">Dashboard!D54/'Battery Design'!G16*1000/Dashboard!D77</f>
        <v>67.482501916094435</v>
      </c>
      <c r="H252" s="15">
        <f ca="1">Dashboard!E54/'Battery Design'!H16*1000/Dashboard!E77</f>
        <v>67.482501916094435</v>
      </c>
      <c r="I252" s="15">
        <f ca="1">Dashboard!F54/'Battery Design'!I16*1000/Dashboard!F77</f>
        <v>67.482501916094435</v>
      </c>
      <c r="J252" s="15">
        <f ca="1">Dashboard!G54/'Battery Design'!J16*1000/Dashboard!G77</f>
        <v>67.482501916094435</v>
      </c>
      <c r="K252" s="15">
        <f ca="1">Dashboard!H54/'Battery Design'!K16*1000/Dashboard!H77</f>
        <v>67.482501916094435</v>
      </c>
      <c r="L252" s="15">
        <f ca="1">Dashboard!I54/'Battery Design'!L16*1000/Dashboard!I77</f>
        <v>67.482501916094435</v>
      </c>
      <c r="M252" s="15">
        <f ca="1">Dashboard!J54/'Battery Design'!M16*1000/Dashboard!J77</f>
        <v>67.482501916094435</v>
      </c>
      <c r="N252" s="15"/>
      <c r="O252" s="15"/>
    </row>
    <row r="253" spans="1:15" x14ac:dyDescent="0.15">
      <c r="A253" s="1214"/>
      <c r="B253" s="8" t="s">
        <v>469</v>
      </c>
      <c r="G253" s="377">
        <v>55</v>
      </c>
      <c r="H253" s="377">
        <v>55</v>
      </c>
      <c r="I253" s="377">
        <v>55</v>
      </c>
      <c r="J253" s="377">
        <v>55</v>
      </c>
      <c r="K253" s="377">
        <v>55</v>
      </c>
      <c r="L253" s="377">
        <v>55</v>
      </c>
      <c r="M253" s="377">
        <v>55</v>
      </c>
      <c r="N253" s="15"/>
      <c r="O253" s="15"/>
    </row>
    <row r="254" spans="1:15" x14ac:dyDescent="0.15">
      <c r="A254" s="1214"/>
      <c r="B254" s="8" t="s">
        <v>470</v>
      </c>
      <c r="G254" s="174">
        <f>IF(Dashboard!$D$36="Yes", Dashboard!D59, 60)</f>
        <v>60</v>
      </c>
      <c r="H254" s="174">
        <f>IF(Dashboard!$D$36="Yes", Dashboard!E59, 60)</f>
        <v>60</v>
      </c>
      <c r="I254" s="174">
        <f>IF(Dashboard!$D$36="Yes", Dashboard!F59, 60)</f>
        <v>60</v>
      </c>
      <c r="J254" s="174">
        <f>IF(Dashboard!$D$36="Yes", Dashboard!G59, 60)</f>
        <v>60</v>
      </c>
      <c r="K254" s="174">
        <f>IF(Dashboard!$D$36="Yes", Dashboard!H59, 60)</f>
        <v>60</v>
      </c>
      <c r="L254" s="174">
        <f>IF(Dashboard!$D$36="Yes", Dashboard!I59, 60)</f>
        <v>60</v>
      </c>
      <c r="M254" s="174">
        <f>IF(Dashboard!$D$36="Yes", Dashboard!J59, 60)</f>
        <v>60</v>
      </c>
      <c r="N254" s="15"/>
      <c r="O254" s="15"/>
    </row>
    <row r="255" spans="1:15" x14ac:dyDescent="0.15">
      <c r="A255" s="1214"/>
      <c r="B255" s="8" t="s">
        <v>471</v>
      </c>
      <c r="G255" s="15"/>
      <c r="H255" s="15"/>
      <c r="I255" s="15"/>
      <c r="J255" s="15"/>
      <c r="K255" s="15"/>
      <c r="L255" s="15"/>
      <c r="M255" s="15"/>
      <c r="N255" s="15"/>
      <c r="O255" s="15"/>
    </row>
    <row r="256" spans="1:15" ht="14" x14ac:dyDescent="0.2">
      <c r="A256" s="1214"/>
      <c r="B256" s="1094" t="s">
        <v>472</v>
      </c>
      <c r="G256" s="15">
        <f>0.0915485</f>
        <v>9.1548500000000005E-2</v>
      </c>
      <c r="H256" s="15">
        <f t="shared" ref="H256:M256" si="96">0.0915485</f>
        <v>9.1548500000000005E-2</v>
      </c>
      <c r="I256" s="15">
        <f t="shared" si="96"/>
        <v>9.1548500000000005E-2</v>
      </c>
      <c r="J256" s="15">
        <f t="shared" si="96"/>
        <v>9.1548500000000005E-2</v>
      </c>
      <c r="K256" s="15">
        <f t="shared" si="96"/>
        <v>9.1548500000000005E-2</v>
      </c>
      <c r="L256" s="15">
        <f t="shared" si="96"/>
        <v>9.1548500000000005E-2</v>
      </c>
      <c r="M256" s="15">
        <f t="shared" si="96"/>
        <v>9.1548500000000005E-2</v>
      </c>
      <c r="N256" s="15"/>
      <c r="O256" s="15"/>
    </row>
    <row r="257" spans="1:15" ht="14" x14ac:dyDescent="0.2">
      <c r="A257" s="1214"/>
      <c r="B257" s="1094" t="s">
        <v>473</v>
      </c>
      <c r="G257" s="15">
        <f>0.018676716</f>
        <v>1.8676715999999999E-2</v>
      </c>
      <c r="H257" s="15">
        <f t="shared" ref="H257:M257" si="97">0.018676716</f>
        <v>1.8676715999999999E-2</v>
      </c>
      <c r="I257" s="15">
        <f t="shared" si="97"/>
        <v>1.8676715999999999E-2</v>
      </c>
      <c r="J257" s="15">
        <f t="shared" si="97"/>
        <v>1.8676715999999999E-2</v>
      </c>
      <c r="K257" s="15">
        <f t="shared" si="97"/>
        <v>1.8676715999999999E-2</v>
      </c>
      <c r="L257" s="15">
        <f t="shared" si="97"/>
        <v>1.8676715999999999E-2</v>
      </c>
      <c r="M257" s="15">
        <f t="shared" si="97"/>
        <v>1.8676715999999999E-2</v>
      </c>
      <c r="N257" s="15"/>
      <c r="O257" s="15"/>
    </row>
    <row r="258" spans="1:15" ht="14" x14ac:dyDescent="0.2">
      <c r="A258" s="1214"/>
      <c r="B258" s="1094" t="s">
        <v>474</v>
      </c>
      <c r="G258" s="15">
        <f>-0.000455723501</f>
        <v>-4.55723501E-4</v>
      </c>
      <c r="H258" s="15">
        <f t="shared" ref="H258:M258" si="98">-0.000455723501</f>
        <v>-4.55723501E-4</v>
      </c>
      <c r="I258" s="15">
        <f t="shared" si="98"/>
        <v>-4.55723501E-4</v>
      </c>
      <c r="J258" s="15">
        <f t="shared" si="98"/>
        <v>-4.55723501E-4</v>
      </c>
      <c r="K258" s="15">
        <f t="shared" si="98"/>
        <v>-4.55723501E-4</v>
      </c>
      <c r="L258" s="15">
        <f t="shared" si="98"/>
        <v>-4.55723501E-4</v>
      </c>
      <c r="M258" s="15">
        <f t="shared" si="98"/>
        <v>-4.55723501E-4</v>
      </c>
      <c r="N258" s="15"/>
      <c r="O258" s="15"/>
    </row>
    <row r="259" spans="1:15" ht="14" x14ac:dyDescent="0.2">
      <c r="A259" s="1214"/>
      <c r="B259" s="1094" t="s">
        <v>475</v>
      </c>
      <c r="G259" s="15">
        <f>4.91567612</f>
        <v>4.9156761199999996</v>
      </c>
      <c r="H259" s="15">
        <f t="shared" ref="H259:M259" si="99">4.91567612</f>
        <v>4.9156761199999996</v>
      </c>
      <c r="I259" s="15">
        <f t="shared" si="99"/>
        <v>4.9156761199999996</v>
      </c>
      <c r="J259" s="15">
        <f t="shared" si="99"/>
        <v>4.9156761199999996</v>
      </c>
      <c r="K259" s="15">
        <f t="shared" si="99"/>
        <v>4.9156761199999996</v>
      </c>
      <c r="L259" s="15">
        <f t="shared" si="99"/>
        <v>4.9156761199999996</v>
      </c>
      <c r="M259" s="15">
        <f t="shared" si="99"/>
        <v>4.9156761199999996</v>
      </c>
      <c r="N259" s="15"/>
      <c r="O259" s="15"/>
    </row>
    <row r="260" spans="1:15" ht="14" x14ac:dyDescent="0.2">
      <c r="A260" s="1214"/>
      <c r="B260" s="1094" t="s">
        <v>476</v>
      </c>
      <c r="G260" s="15">
        <f>0.708</f>
        <v>0.70799999999999996</v>
      </c>
      <c r="H260" s="15">
        <f t="shared" ref="H260:M260" si="100">0.708</f>
        <v>0.70799999999999996</v>
      </c>
      <c r="I260" s="15">
        <f t="shared" si="100"/>
        <v>0.70799999999999996</v>
      </c>
      <c r="J260" s="15">
        <f t="shared" si="100"/>
        <v>0.70799999999999996</v>
      </c>
      <c r="K260" s="15">
        <f t="shared" si="100"/>
        <v>0.70799999999999996</v>
      </c>
      <c r="L260" s="15">
        <f t="shared" si="100"/>
        <v>0.70799999999999996</v>
      </c>
      <c r="M260" s="15">
        <f t="shared" si="100"/>
        <v>0.70799999999999996</v>
      </c>
      <c r="N260" s="15"/>
      <c r="O260" s="15"/>
    </row>
    <row r="261" spans="1:15" ht="14" x14ac:dyDescent="0.2">
      <c r="A261" s="1214"/>
      <c r="B261" s="1094" t="s">
        <v>477</v>
      </c>
      <c r="G261" s="15">
        <f>-0.186</f>
        <v>-0.186</v>
      </c>
      <c r="H261" s="15">
        <f t="shared" ref="H261:M261" si="101">-0.186</f>
        <v>-0.186</v>
      </c>
      <c r="I261" s="15">
        <f t="shared" si="101"/>
        <v>-0.186</v>
      </c>
      <c r="J261" s="15">
        <f t="shared" si="101"/>
        <v>-0.186</v>
      </c>
      <c r="K261" s="15">
        <f t="shared" si="101"/>
        <v>-0.186</v>
      </c>
      <c r="L261" s="15">
        <f t="shared" si="101"/>
        <v>-0.186</v>
      </c>
      <c r="M261" s="15">
        <f t="shared" si="101"/>
        <v>-0.186</v>
      </c>
      <c r="N261" s="15"/>
      <c r="O261" s="15"/>
    </row>
    <row r="262" spans="1:15" ht="14" x14ac:dyDescent="0.2">
      <c r="A262" s="1214"/>
      <c r="B262" s="1094" t="s">
        <v>478</v>
      </c>
      <c r="G262" s="15">
        <f>0.00276455781</f>
        <v>2.7645578100000002E-3</v>
      </c>
      <c r="H262" s="15">
        <f t="shared" ref="H262:M262" si="102">0.00276455781</f>
        <v>2.7645578100000002E-3</v>
      </c>
      <c r="I262" s="15">
        <f t="shared" si="102"/>
        <v>2.7645578100000002E-3</v>
      </c>
      <c r="J262" s="15">
        <f t="shared" si="102"/>
        <v>2.7645578100000002E-3</v>
      </c>
      <c r="K262" s="15">
        <f t="shared" si="102"/>
        <v>2.7645578100000002E-3</v>
      </c>
      <c r="L262" s="15">
        <f t="shared" si="102"/>
        <v>2.7645578100000002E-3</v>
      </c>
      <c r="M262" s="15">
        <f t="shared" si="102"/>
        <v>2.7645578100000002E-3</v>
      </c>
      <c r="N262" s="15"/>
      <c r="O262" s="15"/>
    </row>
    <row r="263" spans="1:15" ht="14" x14ac:dyDescent="0.2">
      <c r="A263" s="1214"/>
      <c r="B263" s="1094" t="s">
        <v>479</v>
      </c>
      <c r="G263" s="15">
        <f>-46.151974</f>
        <v>-46.151974000000003</v>
      </c>
      <c r="H263" s="15">
        <f t="shared" ref="H263:M263" si="103">-46.151974</f>
        <v>-46.151974000000003</v>
      </c>
      <c r="I263" s="15">
        <f t="shared" si="103"/>
        <v>-46.151974000000003</v>
      </c>
      <c r="J263" s="15">
        <f t="shared" si="103"/>
        <v>-46.151974000000003</v>
      </c>
      <c r="K263" s="15">
        <f t="shared" si="103"/>
        <v>-46.151974000000003</v>
      </c>
      <c r="L263" s="15">
        <f t="shared" si="103"/>
        <v>-46.151974000000003</v>
      </c>
      <c r="M263" s="15">
        <f t="shared" si="103"/>
        <v>-46.151974000000003</v>
      </c>
      <c r="N263" s="15"/>
      <c r="O263" s="15"/>
    </row>
    <row r="264" spans="1:15" x14ac:dyDescent="0.15">
      <c r="A264" s="1214"/>
      <c r="F264" s="461"/>
      <c r="G264" s="461"/>
      <c r="H264" s="461"/>
      <c r="I264" s="461"/>
      <c r="J264" s="461"/>
      <c r="K264" s="461"/>
      <c r="L264" s="461"/>
      <c r="M264" s="461"/>
      <c r="N264" s="15"/>
      <c r="O264" s="15"/>
    </row>
    <row r="265" spans="1:15" x14ac:dyDescent="0.15">
      <c r="A265" s="1214"/>
      <c r="B265" s="8" t="s">
        <v>480</v>
      </c>
      <c r="G265" s="15">
        <f ca="1">(15.32/G238)^1.1*LN('Battery Design'!G254)^2*('Battery Design'!G256*'Battery Design'!G253 +'Battery Design'!G257*'Battery Design'!G252 + 'Battery Design'!G258*'Battery Design'!G253*'Battery Design'!G252 + 'Battery Design'!G259) + ('Battery Design'!G260*'Battery Design'!G253 + 'Battery Design'!G261* 'Battery Design'!G252 + 'Battery Design'!G262*'Battery Design'!G253*'Battery Design'!G252 + 'Battery Design'!G263)</f>
        <v>209.61725999692166</v>
      </c>
      <c r="H265" s="15">
        <f ca="1">(15.32/H238)^1.1*LN('Battery Design'!H254)^2*('Battery Design'!H256*'Battery Design'!H253 +'Battery Design'!H257*'Battery Design'!H252 + 'Battery Design'!H258*'Battery Design'!H253*'Battery Design'!H252 + 'Battery Design'!H259) + ('Battery Design'!H260*'Battery Design'!H253 + 'Battery Design'!H261* 'Battery Design'!H252 + 'Battery Design'!H262*'Battery Design'!H253*'Battery Design'!H252 + 'Battery Design'!H263)</f>
        <v>209.61725999692166</v>
      </c>
      <c r="I265" s="15">
        <f ca="1">(15.32/I238)^1.1*LN('Battery Design'!I254)^2*('Battery Design'!I256*'Battery Design'!I253 +'Battery Design'!I257*'Battery Design'!I252 + 'Battery Design'!I258*'Battery Design'!I253*'Battery Design'!I252 + 'Battery Design'!I259) + ('Battery Design'!I260*'Battery Design'!I253 + 'Battery Design'!I261* 'Battery Design'!I252 + 'Battery Design'!I262*'Battery Design'!I253*'Battery Design'!I252 + 'Battery Design'!I263)</f>
        <v>209.61725999692166</v>
      </c>
      <c r="J265" s="15">
        <f ca="1">(15.32/J238)^1.1*LN('Battery Design'!J254)^2*('Battery Design'!J256*'Battery Design'!J253 +'Battery Design'!J257*'Battery Design'!J252 + 'Battery Design'!J258*'Battery Design'!J253*'Battery Design'!J252 + 'Battery Design'!J259) + ('Battery Design'!J260*'Battery Design'!J253 + 'Battery Design'!J261* 'Battery Design'!J252 + 'Battery Design'!J262*'Battery Design'!J253*'Battery Design'!J252 + 'Battery Design'!J263)</f>
        <v>209.61725999692166</v>
      </c>
      <c r="K265" s="15">
        <f ca="1">(15.32/K238)^1.1*LN('Battery Design'!K254)^2*('Battery Design'!K256*'Battery Design'!K253 +'Battery Design'!K257*'Battery Design'!K252 + 'Battery Design'!K258*'Battery Design'!K253*'Battery Design'!K252 + 'Battery Design'!K259) + ('Battery Design'!K260*'Battery Design'!K253 + 'Battery Design'!K261* 'Battery Design'!K252 + 'Battery Design'!K262*'Battery Design'!K253*'Battery Design'!K252 + 'Battery Design'!K263)</f>
        <v>209.61725999692166</v>
      </c>
      <c r="L265" s="15">
        <f ca="1">(15.32/L238)^1.1*LN('Battery Design'!L254)^2*('Battery Design'!L256*'Battery Design'!L253 +'Battery Design'!L257*'Battery Design'!L252 + 'Battery Design'!L258*'Battery Design'!L253*'Battery Design'!L252 + 'Battery Design'!L259) + ('Battery Design'!L260*'Battery Design'!L253 + 'Battery Design'!L261* 'Battery Design'!L252 + 'Battery Design'!L262*'Battery Design'!L253*'Battery Design'!L252 + 'Battery Design'!L263)</f>
        <v>209.61725999692166</v>
      </c>
      <c r="M265" s="15">
        <f ca="1">(15.32/M238)^1.1*LN('Battery Design'!M254)^2*('Battery Design'!M256*'Battery Design'!M253 +'Battery Design'!M257*'Battery Design'!M252 + 'Battery Design'!M258*'Battery Design'!M253*'Battery Design'!M252 + 'Battery Design'!M259) + ('Battery Design'!M260*'Battery Design'!M253 + 'Battery Design'!M261* 'Battery Design'!M252 + 'Battery Design'!M262*'Battery Design'!M253*'Battery Design'!M252 + 'Battery Design'!M263)</f>
        <v>209.61725999692166</v>
      </c>
      <c r="N265" s="15"/>
      <c r="O265" s="15"/>
    </row>
    <row r="266" spans="1:15" x14ac:dyDescent="0.15">
      <c r="A266" s="1214"/>
      <c r="B266" s="8" t="s">
        <v>481</v>
      </c>
      <c r="G266" s="15">
        <f t="shared" ref="G266:M266" ca="1" si="104">G265*G272</f>
        <v>227.58504226801196</v>
      </c>
      <c r="H266" s="15">
        <f t="shared" ca="1" si="104"/>
        <v>227.58504226801196</v>
      </c>
      <c r="I266" s="15">
        <f t="shared" ca="1" si="104"/>
        <v>227.58504226801196</v>
      </c>
      <c r="J266" s="15">
        <f t="shared" ca="1" si="104"/>
        <v>227.58504226801196</v>
      </c>
      <c r="K266" s="15">
        <f t="shared" ca="1" si="104"/>
        <v>227.58504226801196</v>
      </c>
      <c r="L266" s="15">
        <f t="shared" ca="1" si="104"/>
        <v>227.58504226801196</v>
      </c>
      <c r="M266" s="15">
        <f t="shared" ca="1" si="104"/>
        <v>227.58504226801196</v>
      </c>
      <c r="N266" s="15"/>
      <c r="O266" s="15"/>
    </row>
    <row r="267" spans="1:15" x14ac:dyDescent="0.15">
      <c r="A267" s="1214"/>
      <c r="B267" s="8" t="s">
        <v>482</v>
      </c>
      <c r="D267" s="379"/>
      <c r="F267" s="46"/>
      <c r="G267" s="15">
        <f t="shared" ref="G267:M267" ca="1" si="105">G252*0.8/(G254/60)/(G293)*1000/2</f>
        <v>2.3156701029112732</v>
      </c>
      <c r="H267" s="15">
        <f t="shared" ca="1" si="105"/>
        <v>2.3156701029112732</v>
      </c>
      <c r="I267" s="15">
        <f t="shared" ca="1" si="105"/>
        <v>2.3156701029112732</v>
      </c>
      <c r="J267" s="15">
        <f t="shared" ca="1" si="105"/>
        <v>2.3156701029112732</v>
      </c>
      <c r="K267" s="15">
        <f t="shared" ca="1" si="105"/>
        <v>2.3156701029112732</v>
      </c>
      <c r="L267" s="15">
        <f t="shared" ca="1" si="105"/>
        <v>2.3156701029112732</v>
      </c>
      <c r="M267" s="15">
        <f t="shared" ca="1" si="105"/>
        <v>2.3156701029112732</v>
      </c>
      <c r="N267" s="15"/>
      <c r="O267" s="15"/>
    </row>
    <row r="268" spans="1:15" ht="14" thickBot="1" x14ac:dyDescent="0.2">
      <c r="A268" s="1214"/>
      <c r="D268" s="379"/>
      <c r="F268" s="46"/>
      <c r="G268" s="15"/>
      <c r="H268" s="15"/>
      <c r="I268" s="15"/>
      <c r="J268" s="15"/>
      <c r="K268" s="15"/>
      <c r="L268" s="15"/>
      <c r="M268" s="15"/>
      <c r="N268" s="15"/>
      <c r="O268" s="15"/>
    </row>
    <row r="269" spans="1:15" ht="19" thickBot="1" x14ac:dyDescent="0.25">
      <c r="A269" s="1214"/>
      <c r="B269" s="1310" t="s">
        <v>483</v>
      </c>
      <c r="C269" s="1311"/>
      <c r="D269" s="1311"/>
      <c r="E269" s="1311"/>
      <c r="F269" s="1311"/>
      <c r="G269" s="1311"/>
      <c r="H269" s="1311"/>
      <c r="I269" s="1311"/>
      <c r="J269" s="1311"/>
      <c r="K269" s="1311"/>
      <c r="L269" s="1311"/>
      <c r="M269" s="1312"/>
      <c r="N269" s="15"/>
      <c r="O269" s="15"/>
    </row>
    <row r="270" spans="1:15" x14ac:dyDescent="0.15">
      <c r="A270" s="1214"/>
      <c r="D270" s="379"/>
      <c r="F270" s="46"/>
      <c r="G270" s="15"/>
      <c r="H270" s="15"/>
      <c r="I270" s="15"/>
      <c r="J270" s="15"/>
      <c r="K270" s="15"/>
      <c r="L270" s="15"/>
      <c r="M270" s="15"/>
      <c r="N270" s="15"/>
      <c r="O270" s="15"/>
    </row>
    <row r="271" spans="1:15" ht="16" x14ac:dyDescent="0.2">
      <c r="A271" s="1214"/>
      <c r="B271" s="5" t="s">
        <v>484</v>
      </c>
      <c r="D271" s="68"/>
      <c r="G271" s="124"/>
      <c r="H271" s="124"/>
      <c r="I271" s="124"/>
      <c r="J271" s="124"/>
      <c r="K271" s="124"/>
      <c r="L271" s="124"/>
      <c r="M271" s="124"/>
      <c r="N271" s="15"/>
      <c r="O271" s="15"/>
    </row>
    <row r="272" spans="1:15" x14ac:dyDescent="0.15">
      <c r="A272" s="1214"/>
      <c r="B272" s="8" t="s">
        <v>485</v>
      </c>
      <c r="G272" s="15">
        <f t="shared" ref="G272:M272" si="106">G104*G107/G106</f>
        <v>1.0857170934843541</v>
      </c>
      <c r="H272" s="15">
        <f t="shared" si="106"/>
        <v>1.0857170934843541</v>
      </c>
      <c r="I272" s="15">
        <f t="shared" si="106"/>
        <v>1.0857170934843541</v>
      </c>
      <c r="J272" s="15">
        <f t="shared" si="106"/>
        <v>1.0857170934843541</v>
      </c>
      <c r="K272" s="15">
        <f t="shared" si="106"/>
        <v>1.0857170934843541</v>
      </c>
      <c r="L272" s="15">
        <f t="shared" si="106"/>
        <v>1.0857170934843541</v>
      </c>
      <c r="M272" s="15">
        <f t="shared" si="106"/>
        <v>1.0857170934843541</v>
      </c>
      <c r="N272" s="15"/>
      <c r="O272" s="15"/>
    </row>
    <row r="273" spans="1:20" x14ac:dyDescent="0.15">
      <c r="A273" s="1214"/>
      <c r="G273" s="15"/>
      <c r="H273" s="15"/>
      <c r="I273" s="15"/>
      <c r="J273" s="15"/>
      <c r="K273" s="15"/>
      <c r="L273" s="15"/>
      <c r="M273" s="15"/>
      <c r="N273" s="15"/>
      <c r="O273" s="15"/>
    </row>
    <row r="274" spans="1:20" ht="14" x14ac:dyDescent="0.15">
      <c r="A274" s="1214"/>
      <c r="B274" s="507" t="s">
        <v>486</v>
      </c>
      <c r="G274" s="15"/>
      <c r="H274" s="15"/>
      <c r="I274" s="15"/>
      <c r="J274" s="15"/>
      <c r="K274" s="15"/>
      <c r="L274" s="15"/>
      <c r="M274" s="15"/>
      <c r="N274" s="15"/>
      <c r="O274" s="15"/>
    </row>
    <row r="275" spans="1:20" x14ac:dyDescent="0.15">
      <c r="A275" s="1214"/>
      <c r="B275" s="8" t="s">
        <v>487</v>
      </c>
      <c r="G275" s="1017" t="str">
        <f>IF(Dashboard!D62=0," ",Dashboard!D62)</f>
        <v xml:space="preserve"> </v>
      </c>
      <c r="H275" s="1017" t="str">
        <f>IF(Dashboard!E62=0," ",Dashboard!E62)</f>
        <v xml:space="preserve"> </v>
      </c>
      <c r="I275" s="1017" t="str">
        <f>IF(Dashboard!F62=0," ",Dashboard!F62)</f>
        <v xml:space="preserve"> </v>
      </c>
      <c r="J275" s="1017" t="str">
        <f>IF(Dashboard!G62=0," ",Dashboard!G62)</f>
        <v xml:space="preserve"> </v>
      </c>
      <c r="K275" s="1017" t="str">
        <f>IF(Dashboard!H62=0," ",Dashboard!H62)</f>
        <v xml:space="preserve"> </v>
      </c>
      <c r="L275" s="1017" t="str">
        <f>IF(Dashboard!I62=0," ",Dashboard!I62)</f>
        <v xml:space="preserve"> </v>
      </c>
      <c r="M275" s="1017" t="str">
        <f>IF(Dashboard!J62=0," ",Dashboard!J62)</f>
        <v xml:space="preserve"> </v>
      </c>
      <c r="N275" s="15"/>
      <c r="O275" s="15"/>
    </row>
    <row r="276" spans="1:20" x14ac:dyDescent="0.15">
      <c r="A276" s="1214"/>
      <c r="B276" s="8" t="s">
        <v>488</v>
      </c>
      <c r="G276" s="66">
        <f t="shared" ref="G276:M276" ca="1" si="107">G35/G104/G289*10000</f>
        <v>337.36698170450586</v>
      </c>
      <c r="H276" s="66">
        <f t="shared" ca="1" si="107"/>
        <v>337.36698170450586</v>
      </c>
      <c r="I276" s="66">
        <f t="shared" ca="1" si="107"/>
        <v>337.36698170450586</v>
      </c>
      <c r="J276" s="66">
        <f t="shared" ca="1" si="107"/>
        <v>337.36698170450586</v>
      </c>
      <c r="K276" s="66">
        <f t="shared" ca="1" si="107"/>
        <v>337.36698170450586</v>
      </c>
      <c r="L276" s="66">
        <f t="shared" ca="1" si="107"/>
        <v>337.36698170450586</v>
      </c>
      <c r="M276" s="66">
        <f t="shared" ca="1" si="107"/>
        <v>337.36698170450586</v>
      </c>
      <c r="N276" s="15"/>
      <c r="O276" s="15"/>
      <c r="P276" s="15"/>
      <c r="Q276" s="15"/>
      <c r="R276" s="15"/>
      <c r="S276" s="15"/>
      <c r="T276" s="15"/>
    </row>
    <row r="277" spans="1:20" x14ac:dyDescent="0.15">
      <c r="A277" s="1214"/>
      <c r="B277" s="8" t="s">
        <v>489</v>
      </c>
      <c r="G277" s="66">
        <f t="shared" ref="G277:M277" ca="1" si="108">G35/G104/G290*10000</f>
        <v>485.01739765514645</v>
      </c>
      <c r="H277" s="66">
        <f t="shared" ca="1" si="108"/>
        <v>485.01739765514645</v>
      </c>
      <c r="I277" s="66">
        <f t="shared" ca="1" si="108"/>
        <v>485.01739765514645</v>
      </c>
      <c r="J277" s="66">
        <f t="shared" ca="1" si="108"/>
        <v>485.01739765514645</v>
      </c>
      <c r="K277" s="66">
        <f t="shared" ca="1" si="108"/>
        <v>485.01739765514645</v>
      </c>
      <c r="L277" s="66">
        <f t="shared" ca="1" si="108"/>
        <v>485.01739765514645</v>
      </c>
      <c r="M277" s="66">
        <f t="shared" ca="1" si="108"/>
        <v>485.01739765514645</v>
      </c>
      <c r="N277" s="15"/>
      <c r="O277" s="15"/>
      <c r="P277" s="15"/>
      <c r="Q277" s="15"/>
      <c r="R277" s="15"/>
      <c r="S277" s="15"/>
      <c r="T277" s="15"/>
    </row>
    <row r="278" spans="1:20" ht="16" x14ac:dyDescent="0.2">
      <c r="A278" s="123"/>
      <c r="B278" s="8" t="s">
        <v>490</v>
      </c>
      <c r="G278" s="66">
        <f>IF(Dashboard!$D6=0,G279,IF(Dashboard!$D$36="Yes",MAX(G265, Chem!$C$28),2*G279))</f>
        <v>240</v>
      </c>
      <c r="H278" s="66">
        <f>IF(Dashboard!$D6=0,H279,IF(Dashboard!$D$36="Yes",MAX(H265, Chem!$C$28),2*H279))</f>
        <v>240</v>
      </c>
      <c r="I278" s="66">
        <f>IF(Dashboard!$D6=0,I279,IF(Dashboard!$D$36="Yes",MAX(I265, Chem!$C$28),2*I279))</f>
        <v>240</v>
      </c>
      <c r="J278" s="66">
        <f>IF(Dashboard!$D6=0,J279,IF(Dashboard!$D$36="Yes",MAX(J265, Chem!$C$28),2*J279))</f>
        <v>240</v>
      </c>
      <c r="K278" s="66">
        <f>IF(Dashboard!$D6=0,K279,IF(Dashboard!$D$36="Yes",MAX(K265, Chem!$C$28),2*K279))</f>
        <v>240</v>
      </c>
      <c r="L278" s="66">
        <f>IF(Dashboard!$D6=0,L279,IF(Dashboard!$D$36="Yes",MAX(L265, Chem!$C$28),2*L279))</f>
        <v>240</v>
      </c>
      <c r="M278" s="66">
        <f>IF(Dashboard!$D6=0,M279,IF(Dashboard!$D$36="Yes",MAX(M265, Chem!$C$28),2*M279))</f>
        <v>240</v>
      </c>
      <c r="N278" s="15"/>
      <c r="O278" s="15"/>
    </row>
    <row r="279" spans="1:20" ht="16" x14ac:dyDescent="0.2">
      <c r="A279" s="123"/>
      <c r="B279" s="8" t="s">
        <v>491</v>
      </c>
      <c r="G279" s="331">
        <f>Dashboard!$D$18</f>
        <v>120</v>
      </c>
      <c r="H279" s="331">
        <f>Dashboard!$D$18</f>
        <v>120</v>
      </c>
      <c r="I279" s="331">
        <f>Dashboard!$D$18</f>
        <v>120</v>
      </c>
      <c r="J279" s="331">
        <f>Dashboard!$D$18</f>
        <v>120</v>
      </c>
      <c r="K279" s="331">
        <f>Dashboard!$D$18</f>
        <v>120</v>
      </c>
      <c r="L279" s="331">
        <f>Dashboard!$D$18</f>
        <v>120</v>
      </c>
      <c r="M279" s="331">
        <f>Dashboard!$D$18</f>
        <v>120</v>
      </c>
      <c r="N279" s="15"/>
      <c r="O279" s="15"/>
    </row>
    <row r="280" spans="1:20" ht="16" x14ac:dyDescent="0.2">
      <c r="A280" s="123"/>
      <c r="G280" s="66"/>
      <c r="H280" s="66"/>
      <c r="I280" s="66"/>
      <c r="J280" s="66"/>
      <c r="K280" s="66"/>
      <c r="L280" s="66"/>
      <c r="M280" s="66"/>
      <c r="N280" s="15"/>
      <c r="O280" s="15"/>
    </row>
    <row r="281" spans="1:20" ht="14" x14ac:dyDescent="0.15">
      <c r="A281" s="1214"/>
      <c r="B281" s="507" t="s">
        <v>492</v>
      </c>
      <c r="G281" s="178"/>
      <c r="H281" s="178"/>
      <c r="I281" s="178"/>
      <c r="J281" s="178"/>
      <c r="K281" s="178"/>
      <c r="L281" s="178"/>
      <c r="M281" s="178"/>
      <c r="N281" s="15"/>
      <c r="O281" s="15"/>
    </row>
    <row r="282" spans="1:20" x14ac:dyDescent="0.15">
      <c r="A282" s="1214"/>
      <c r="B282" s="8" t="s">
        <v>233</v>
      </c>
      <c r="F282" s="11"/>
      <c r="G282" s="66">
        <f ca="1">IF(G275=" ", MIN('Battery Design'!G276:G279),G275)</f>
        <v>120</v>
      </c>
      <c r="H282" s="66">
        <f ca="1">IF(H275=" ", MIN('Battery Design'!H276:H279),H275)</f>
        <v>120</v>
      </c>
      <c r="I282" s="66">
        <f ca="1">IF(I275=" ", MIN('Battery Design'!I276:I279),I275)</f>
        <v>120</v>
      </c>
      <c r="J282" s="66">
        <f ca="1">IF(J275=" ", MIN('Battery Design'!J276:J279),J275)</f>
        <v>120</v>
      </c>
      <c r="K282" s="66">
        <f ca="1">IF(K275=" ", MIN('Battery Design'!K276:K279),K275)</f>
        <v>120</v>
      </c>
      <c r="L282" s="66">
        <f ca="1">IF(L275=" ", MIN('Battery Design'!L276:L279),L275)</f>
        <v>120</v>
      </c>
      <c r="M282" s="66">
        <f ca="1">IF(M275=" ", MIN('Battery Design'!M276:M279),M275)</f>
        <v>120</v>
      </c>
      <c r="N282" s="15"/>
      <c r="O282" s="15"/>
    </row>
    <row r="283" spans="1:20" x14ac:dyDescent="0.15">
      <c r="A283" s="1214"/>
      <c r="B283" s="8" t="s">
        <v>234</v>
      </c>
      <c r="G283" s="66">
        <f t="shared" ref="G283:M283" ca="1" si="109">G282*G272</f>
        <v>130.28605121812248</v>
      </c>
      <c r="H283" s="66">
        <f t="shared" ca="1" si="109"/>
        <v>130.28605121812248</v>
      </c>
      <c r="I283" s="66">
        <f t="shared" ca="1" si="109"/>
        <v>130.28605121812248</v>
      </c>
      <c r="J283" s="66">
        <f t="shared" ca="1" si="109"/>
        <v>130.28605121812248</v>
      </c>
      <c r="K283" s="66">
        <f t="shared" ca="1" si="109"/>
        <v>130.28605121812248</v>
      </c>
      <c r="L283" s="66">
        <f t="shared" ca="1" si="109"/>
        <v>130.28605121812248</v>
      </c>
      <c r="M283" s="66">
        <f t="shared" ca="1" si="109"/>
        <v>130.28605121812248</v>
      </c>
      <c r="N283" s="15"/>
      <c r="O283" s="15"/>
    </row>
    <row r="284" spans="1:20" x14ac:dyDescent="0.15">
      <c r="A284" s="1214"/>
      <c r="B284" s="9" t="s">
        <v>493</v>
      </c>
      <c r="D284" s="26"/>
      <c r="E284" s="133"/>
      <c r="G284" s="15">
        <f t="shared" ref="G284:M284" ca="1" si="110">(G282/10000)*$F$48*G103*($E$44/100)</f>
        <v>5.8283984106079121</v>
      </c>
      <c r="H284" s="15">
        <f t="shared" ca="1" si="110"/>
        <v>5.8283984106079121</v>
      </c>
      <c r="I284" s="15">
        <f t="shared" ca="1" si="110"/>
        <v>5.8283984106079121</v>
      </c>
      <c r="J284" s="15">
        <f t="shared" ca="1" si="110"/>
        <v>5.8283984106079121</v>
      </c>
      <c r="K284" s="15">
        <f t="shared" ca="1" si="110"/>
        <v>5.8283984106079121</v>
      </c>
      <c r="L284" s="15">
        <f t="shared" ca="1" si="110"/>
        <v>5.8283984106079121</v>
      </c>
      <c r="M284" s="15">
        <f t="shared" ca="1" si="110"/>
        <v>5.8283984106079121</v>
      </c>
      <c r="N284" s="15"/>
      <c r="O284" s="15"/>
    </row>
    <row r="285" spans="1:20" x14ac:dyDescent="0.15">
      <c r="A285" s="1214"/>
      <c r="B285" s="9" t="s">
        <v>494</v>
      </c>
      <c r="G285" s="15">
        <f t="shared" ref="G285:M285" ca="1" si="111">(G283/10000)*$F$55*G105*($E$51/100)</f>
        <v>6.4112382516687036</v>
      </c>
      <c r="H285" s="15">
        <f t="shared" ca="1" si="111"/>
        <v>6.4112382516687036</v>
      </c>
      <c r="I285" s="15">
        <f t="shared" ca="1" si="111"/>
        <v>6.4112382516687036</v>
      </c>
      <c r="J285" s="15">
        <f t="shared" ca="1" si="111"/>
        <v>6.4112382516687036</v>
      </c>
      <c r="K285" s="15">
        <f t="shared" ca="1" si="111"/>
        <v>6.4112382516687036</v>
      </c>
      <c r="L285" s="15">
        <f t="shared" ca="1" si="111"/>
        <v>6.4112382516687036</v>
      </c>
      <c r="M285" s="15">
        <f t="shared" ca="1" si="111"/>
        <v>6.4112382516687036</v>
      </c>
      <c r="N285" s="15"/>
      <c r="O285" s="15"/>
    </row>
    <row r="286" spans="1:20" x14ac:dyDescent="0.15">
      <c r="A286" s="1214"/>
      <c r="B286" s="9"/>
      <c r="G286" s="15"/>
      <c r="H286" s="15"/>
      <c r="I286" s="15"/>
      <c r="J286" s="15"/>
      <c r="K286" s="15"/>
      <c r="L286" s="15"/>
      <c r="M286" s="15"/>
      <c r="N286" s="15"/>
      <c r="O286" s="15"/>
    </row>
    <row r="287" spans="1:20" ht="16" x14ac:dyDescent="0.2">
      <c r="A287" s="1214"/>
      <c r="B287" s="5" t="s">
        <v>495</v>
      </c>
      <c r="G287" s="143"/>
      <c r="H287" s="143"/>
      <c r="I287" s="143"/>
      <c r="J287" s="143"/>
      <c r="K287" s="143"/>
      <c r="L287" s="143"/>
      <c r="M287" s="143"/>
      <c r="N287" s="15"/>
      <c r="O287" s="15"/>
    </row>
    <row r="288" spans="1:20" x14ac:dyDescent="0.15">
      <c r="A288" s="1214"/>
      <c r="B288" s="8" t="s">
        <v>496</v>
      </c>
      <c r="E288" s="8" t="s">
        <v>497</v>
      </c>
      <c r="G288" s="144" t="str">
        <f t="shared" ref="G288:M288" si="112">IF(G275=" "," ",G48/$F48/G275*10000)</f>
        <v xml:space="preserve"> </v>
      </c>
      <c r="H288" s="144" t="str">
        <f t="shared" si="112"/>
        <v xml:space="preserve"> </v>
      </c>
      <c r="I288" s="144" t="str">
        <f t="shared" si="112"/>
        <v xml:space="preserve"> </v>
      </c>
      <c r="J288" s="144" t="str">
        <f t="shared" si="112"/>
        <v xml:space="preserve"> </v>
      </c>
      <c r="K288" s="144" t="str">
        <f t="shared" si="112"/>
        <v xml:space="preserve"> </v>
      </c>
      <c r="L288" s="144" t="str">
        <f t="shared" si="112"/>
        <v xml:space="preserve"> </v>
      </c>
      <c r="M288" s="144" t="str">
        <f t="shared" si="112"/>
        <v xml:space="preserve"> </v>
      </c>
      <c r="N288" s="15"/>
      <c r="O288" s="15"/>
    </row>
    <row r="289" spans="1:15" x14ac:dyDescent="0.15">
      <c r="A289" s="1214"/>
      <c r="B289" s="8" t="s">
        <v>498</v>
      </c>
      <c r="E289" s="8" t="s">
        <v>499</v>
      </c>
      <c r="G289" s="121">
        <f ca="1">IF(   Dashboard!$D6=0, G151 * (G22*1000) * ((1/G26)* (1/G30) * (1/G364)) * (1/G140) * (100/G117) * (100/(100-G117)),   G238 * (G22*1000) * ((1/G26) * (1/G30) * (1/G364)) * (1/G140) * (100/G117) * (100/(100-G117))   )</f>
        <v>4146.2277004254302</v>
      </c>
      <c r="H289" s="121">
        <f ca="1">IF(   Dashboard!$D6=0, H151 * (H22*1000) * ((1/H26)* (1/H30) * (1/H364)) * (1/H140) * (100/H117) * (100/(100-H117)),   H238 * (H22*1000) * ((1/H26) * (1/H30) * (1/H364)) * (1/H140) * (100/H117) * (100/(100-H117))   )</f>
        <v>4146.2277004254302</v>
      </c>
      <c r="I289" s="121">
        <f ca="1">IF(   Dashboard!$D6=0, I151 * (I22*1000) * ((1/I26)* (1/I30) * (1/I364)) * (1/I140) * (100/I117) * (100/(100-I117)),   I238 * (I22*1000) * ((1/I26) * (1/I30) * (1/I364)) * (1/I140) * (100/I117) * (100/(100-I117))   )</f>
        <v>4146.2277004254302</v>
      </c>
      <c r="J289" s="121">
        <f ca="1">IF(   Dashboard!$D6=0, J151 * (J22*1000) * ((1/J26)* (1/J30) * (1/J364)) * (1/J140) * (100/J117) * (100/(100-J117)),   J238 * (J22*1000) * ((1/J26) * (1/J30) * (1/J364)) * (1/J140) * (100/J117) * (100/(100-J117))   )</f>
        <v>4146.2277004254302</v>
      </c>
      <c r="K289" s="121">
        <f ca="1">IF(   Dashboard!$D6=0, K151 * (K22*1000) * ((1/K26)* (1/K30) * (1/K364)) * (1/K140) * (100/K117) * (100/(100-K117)),   K238 * (K22*1000) * ((1/K26) * (1/K30) * (1/K364)) * (1/K140) * (100/K117) * (100/(100-K117))   )</f>
        <v>4146.2277004254302</v>
      </c>
      <c r="L289" s="121">
        <f ca="1">IF(   Dashboard!$D6=0, L151 * (L22*1000) * ((1/L26)* (1/L30) * (1/L364)) * (1/L140) * (100/L117) * (100/(100-L117)),   L238 * (L22*1000) * ((1/L26) * (1/L30) * (1/L364)) * (1/L140) * (100/L117) * (100/(100-L117))   )</f>
        <v>4146.2277004254302</v>
      </c>
      <c r="M289" s="121">
        <f ca="1">IF(   Dashboard!$D6=0, M151 * (M22*1000) * ((1/M26)* (1/M30) * (1/M364)) * (1/M140) * (100/M117) * (100/(100-M117)),   M238 * (M22*1000) * ((1/M26) * (1/M30) * (1/M364)) * (1/M140) * (100/M117) * (100/(100-M117))   )</f>
        <v>4146.2277004254302</v>
      </c>
      <c r="O289" s="15"/>
    </row>
    <row r="290" spans="1:15" x14ac:dyDescent="0.15">
      <c r="B290" s="8" t="s">
        <v>500</v>
      </c>
      <c r="E290" s="8" t="s">
        <v>501</v>
      </c>
      <c r="G290" s="121">
        <f ca="1">IF(   Dashboard!$D6=0, G158 * (G22*1000) * ((1/G26)* (1/G30) * (1/G364)) * (1/G155) * (100/G154) * (100/(100-G154)),   G239 * (G22*1000) * ((1/G26) * (1/G30) * (1/G364)) * (1/G155) * (100/G154) * (100/(100-G154))   )</f>
        <v>2884.0209269085203</v>
      </c>
      <c r="H290" s="121">
        <f ca="1">IF(   Dashboard!$D6=0, H158 * (H22*1000) * ((1/H26)* (1/H30) * (1/H364)) * (1/H155) * (100/H154) * (100/(100-H154)),   H239 * (H22*1000) * ((1/H26) * (1/H30) * (1/H364)) * (1/H155) * (100/H154) * (100/(100-H154))   )</f>
        <v>2884.0209269085203</v>
      </c>
      <c r="I290" s="121">
        <f ca="1">IF(   Dashboard!$D6=0, I158 * (I22*1000) * ((1/I26)* (1/I30) * (1/I364)) * (1/I155) * (100/I154) * (100/(100-I154)),   I239 * (I22*1000) * ((1/I26) * (1/I30) * (1/I364)) * (1/I155) * (100/I154) * (100/(100-I154))   )</f>
        <v>2884.0209269085203</v>
      </c>
      <c r="J290" s="121">
        <f ca="1">IF(   Dashboard!$D6=0, J158 * (J22*1000) * ((1/J26)* (1/J30) * (1/J364)) * (1/J155) * (100/J154) * (100/(100-J154)),   J239 * (J22*1000) * ((1/J26) * (1/J30) * (1/J364)) * (1/J155) * (100/J154) * (100/(100-J154))   )</f>
        <v>2884.0209269085203</v>
      </c>
      <c r="K290" s="121">
        <f ca="1">IF(   Dashboard!$D6=0, K158 * (K22*1000) * ((1/K26)* (1/K30) * (1/K364)) * (1/K155) * (100/K154) * (100/(100-K154)),   K239 * (K22*1000) * ((1/K26) * (1/K30) * (1/K364)) * (1/K155) * (100/K154) * (100/(100-K154))   )</f>
        <v>2884.0209269085203</v>
      </c>
      <c r="L290" s="121">
        <f ca="1">IF(   Dashboard!$D6=0, L158 * (L22*1000) * ((1/L26)* (1/L30) * (1/L364)) * (1/L155) * (100/L154) * (100/(100-L154)),   L239 * (L22*1000) * ((1/L26) * (1/L30) * (1/L364)) * (1/L155) * (100/L154) * (100/(100-L154))   )</f>
        <v>2884.0209269085203</v>
      </c>
      <c r="M290" s="121">
        <f ca="1">IF(   Dashboard!$D6=0, M158 * (M22*1000) * ((1/M26)* (1/M30) * (1/M364)) * (1/M155) * (100/M154) * (100/(100-M154)),   M239 * (M22*1000) * ((1/M26) * (1/M30) * (1/M364)) * (1/M155) * (100/M154) * (100/(100-M154))   )</f>
        <v>2884.0209269085203</v>
      </c>
    </row>
    <row r="291" spans="1:15" x14ac:dyDescent="0.15">
      <c r="A291" s="1214"/>
      <c r="B291" s="8" t="s">
        <v>502</v>
      </c>
      <c r="D291" s="11"/>
      <c r="E291" s="8" t="s">
        <v>503</v>
      </c>
      <c r="G291" s="121">
        <f ca="1">IF(Dashboard!$D6=0,G289,IF(Dashboard!$D$36="Yes",G48/$F48/G278*10000,G292/2))</f>
        <v>5828.3346864698096</v>
      </c>
      <c r="H291" s="121">
        <f ca="1">IF(Dashboard!$D6=0,H289,IF(Dashboard!$D$36="Yes",H48/$F48/H278*10000,H292/2))</f>
        <v>5828.3346864698096</v>
      </c>
      <c r="I291" s="121">
        <f ca="1">IF(Dashboard!$D6=0,I289,IF(Dashboard!$D$36="Yes",I48/$F48/I278*10000,I292/2))</f>
        <v>5828.3346864698096</v>
      </c>
      <c r="J291" s="121">
        <f ca="1">IF(Dashboard!$D6=0,J289,IF(Dashboard!$D$36="Yes",J48/$F48/J278*10000,J292/2))</f>
        <v>5828.3346864698096</v>
      </c>
      <c r="K291" s="121">
        <f ca="1">IF(Dashboard!$D6=0,K289,IF(Dashboard!$D$36="Yes",K48/$F48/K278*10000,K292/2))</f>
        <v>5828.3346864698096</v>
      </c>
      <c r="L291" s="121">
        <f ca="1">IF(Dashboard!$D6=0,L289,IF(Dashboard!$D$36="Yes",L48/$F48/L278*10000,L292/2))</f>
        <v>5828.3346864698096</v>
      </c>
      <c r="M291" s="121">
        <f ca="1">IF(Dashboard!$D6=0,M289,IF(Dashboard!$D$36="Yes",M48/$F48/M278*10000,M292/2))</f>
        <v>5828.3346864698096</v>
      </c>
      <c r="N291" s="15"/>
      <c r="O291" s="15"/>
    </row>
    <row r="292" spans="1:15" x14ac:dyDescent="0.15">
      <c r="A292" s="1214"/>
      <c r="B292" s="9" t="s">
        <v>504</v>
      </c>
      <c r="E292" s="8" t="s">
        <v>505</v>
      </c>
      <c r="G292" s="121">
        <f t="shared" ref="G292:M292" ca="1" si="113">G48/$F48/G279*10000</f>
        <v>11656.669372935618</v>
      </c>
      <c r="H292" s="121">
        <f t="shared" ca="1" si="113"/>
        <v>11656.669372935618</v>
      </c>
      <c r="I292" s="121">
        <f t="shared" ca="1" si="113"/>
        <v>11656.669372935618</v>
      </c>
      <c r="J292" s="121">
        <f t="shared" ca="1" si="113"/>
        <v>11656.669372935618</v>
      </c>
      <c r="K292" s="121">
        <f t="shared" ca="1" si="113"/>
        <v>11656.669372935618</v>
      </c>
      <c r="L292" s="121">
        <f t="shared" ca="1" si="113"/>
        <v>11656.669372935618</v>
      </c>
      <c r="M292" s="121">
        <f t="shared" ca="1" si="113"/>
        <v>11656.669372935618</v>
      </c>
      <c r="N292" s="15"/>
      <c r="O292" s="15"/>
    </row>
    <row r="293" spans="1:15" x14ac:dyDescent="0.15">
      <c r="A293" s="1214"/>
      <c r="B293" s="8" t="s">
        <v>506</v>
      </c>
      <c r="D293" s="11"/>
      <c r="G293" s="121">
        <f t="shared" ref="G293:M293" ca="1" si="114">IF(G275=" ",MAX(G289:G292, G369*1000/G26/G30/G220*1.01),G288)</f>
        <v>11656.669372935618</v>
      </c>
      <c r="H293" s="121">
        <f t="shared" ca="1" si="114"/>
        <v>11656.669372935618</v>
      </c>
      <c r="I293" s="121">
        <f t="shared" ca="1" si="114"/>
        <v>11656.669372935618</v>
      </c>
      <c r="J293" s="121">
        <f t="shared" ca="1" si="114"/>
        <v>11656.669372935618</v>
      </c>
      <c r="K293" s="121">
        <f t="shared" ca="1" si="114"/>
        <v>11656.669372935618</v>
      </c>
      <c r="L293" s="121">
        <f t="shared" ca="1" si="114"/>
        <v>11656.669372935618</v>
      </c>
      <c r="M293" s="121">
        <f t="shared" ca="1" si="114"/>
        <v>11656.669372935618</v>
      </c>
      <c r="O293" s="15"/>
    </row>
    <row r="294" spans="1:15" x14ac:dyDescent="0.15">
      <c r="A294" s="1214"/>
      <c r="B294" s="8" t="s">
        <v>507</v>
      </c>
      <c r="D294" s="11"/>
      <c r="G294" s="121">
        <f t="shared" ref="G294:M294" ca="1" si="115">G293*(1+G108/100)</f>
        <v>12070.55330708329</v>
      </c>
      <c r="H294" s="121">
        <f t="shared" ca="1" si="115"/>
        <v>12070.55330708329</v>
      </c>
      <c r="I294" s="121">
        <f t="shared" ca="1" si="115"/>
        <v>12070.55330708329</v>
      </c>
      <c r="J294" s="121">
        <f t="shared" ca="1" si="115"/>
        <v>12070.55330708329</v>
      </c>
      <c r="K294" s="121">
        <f t="shared" ca="1" si="115"/>
        <v>12070.55330708329</v>
      </c>
      <c r="L294" s="121">
        <f t="shared" ca="1" si="115"/>
        <v>12070.55330708329</v>
      </c>
      <c r="M294" s="121">
        <f t="shared" ca="1" si="115"/>
        <v>12070.55330708329</v>
      </c>
      <c r="O294" s="15"/>
    </row>
    <row r="295" spans="1:15" x14ac:dyDescent="0.15">
      <c r="A295" s="1214"/>
      <c r="B295" s="8" t="s">
        <v>508</v>
      </c>
      <c r="D295" s="11"/>
      <c r="G295" s="121" t="str">
        <f t="shared" ref="G295:M295" ca="1" si="116">INDEX($E$288:$E$292, MATCH(G293, G288:G292, 0))</f>
        <v>Max Thickness</v>
      </c>
      <c r="H295" s="121" t="str">
        <f t="shared" ca="1" si="116"/>
        <v>Max Thickness</v>
      </c>
      <c r="I295" s="121" t="str">
        <f t="shared" ca="1" si="116"/>
        <v>Max Thickness</v>
      </c>
      <c r="J295" s="121" t="str">
        <f t="shared" ca="1" si="116"/>
        <v>Max Thickness</v>
      </c>
      <c r="K295" s="121" t="str">
        <f t="shared" ca="1" si="116"/>
        <v>Max Thickness</v>
      </c>
      <c r="L295" s="121" t="str">
        <f t="shared" ca="1" si="116"/>
        <v>Max Thickness</v>
      </c>
      <c r="M295" s="121" t="str">
        <f t="shared" ca="1" si="116"/>
        <v>Max Thickness</v>
      </c>
      <c r="O295" s="15"/>
    </row>
    <row r="296" spans="1:15" ht="14" thickBot="1" x14ac:dyDescent="0.2">
      <c r="A296" s="1214"/>
      <c r="D296" s="11"/>
      <c r="G296" s="144"/>
      <c r="H296" s="144"/>
      <c r="I296" s="144"/>
      <c r="J296" s="144"/>
      <c r="K296" s="144"/>
      <c r="L296" s="144"/>
      <c r="M296" s="144"/>
      <c r="N296" s="15"/>
      <c r="O296" s="15"/>
    </row>
    <row r="297" spans="1:15" ht="21" thickBot="1" x14ac:dyDescent="0.25">
      <c r="A297" s="1214"/>
      <c r="B297" s="1262" t="s">
        <v>509</v>
      </c>
      <c r="C297" s="1263"/>
      <c r="D297" s="1263"/>
      <c r="E297" s="1263"/>
      <c r="F297" s="1263"/>
      <c r="G297" s="1263"/>
      <c r="H297" s="1263"/>
      <c r="I297" s="1263"/>
      <c r="J297" s="1263"/>
      <c r="K297" s="1263"/>
      <c r="L297" s="1263"/>
      <c r="M297" s="1264"/>
      <c r="N297" s="15"/>
      <c r="O297" s="15"/>
    </row>
    <row r="298" spans="1:15" ht="19" thickBot="1" x14ac:dyDescent="0.25">
      <c r="A298" s="1214"/>
      <c r="B298" s="1313" t="s">
        <v>510</v>
      </c>
      <c r="C298" s="1314"/>
      <c r="D298" s="1314"/>
      <c r="E298" s="1314"/>
      <c r="F298" s="1314"/>
      <c r="G298" s="1314"/>
      <c r="H298" s="1314"/>
      <c r="I298" s="1314"/>
      <c r="J298" s="1314"/>
      <c r="K298" s="1314"/>
      <c r="L298" s="1314"/>
      <c r="M298" s="1315"/>
      <c r="N298" s="15"/>
      <c r="O298" s="15"/>
    </row>
    <row r="299" spans="1:15" ht="18" x14ac:dyDescent="0.2">
      <c r="A299" s="1214"/>
      <c r="B299" s="503"/>
      <c r="C299" s="503"/>
      <c r="D299" s="503"/>
      <c r="E299" s="503"/>
      <c r="F299" s="503"/>
      <c r="G299" s="503"/>
      <c r="H299" s="503"/>
      <c r="I299" s="503"/>
      <c r="J299" s="503"/>
      <c r="K299" s="503"/>
      <c r="L299" s="503"/>
      <c r="M299" s="503"/>
      <c r="N299" s="15"/>
      <c r="O299" s="15"/>
    </row>
    <row r="300" spans="1:15" outlineLevel="2" x14ac:dyDescent="0.15">
      <c r="A300" s="1214"/>
      <c r="D300" s="11"/>
      <c r="G300" s="144"/>
      <c r="H300" s="144"/>
      <c r="I300" s="144"/>
      <c r="J300" s="144"/>
      <c r="K300" s="144"/>
      <c r="L300" s="144"/>
      <c r="M300" s="144"/>
      <c r="N300" s="15"/>
      <c r="O300" s="15"/>
    </row>
    <row r="301" spans="1:15" ht="16" outlineLevel="2" x14ac:dyDescent="0.2">
      <c r="A301" s="1214"/>
      <c r="B301" s="5" t="s">
        <v>511</v>
      </c>
      <c r="F301" s="15"/>
      <c r="G301" s="336"/>
      <c r="H301" s="336"/>
      <c r="I301" s="336"/>
      <c r="J301" s="336"/>
      <c r="K301" s="336"/>
      <c r="L301" s="336"/>
      <c r="M301" s="336"/>
      <c r="N301" s="15"/>
      <c r="O301" s="15"/>
    </row>
    <row r="302" spans="1:15" outlineLevel="2" x14ac:dyDescent="0.15">
      <c r="A302" s="1214"/>
      <c r="B302" s="8" t="s">
        <v>512</v>
      </c>
      <c r="D302" s="11"/>
      <c r="G302" s="66">
        <f t="shared" ref="G302:M302" ca="1" si="117">(G86*1000-2*G78-$E64)/($E63+$E64+2*($E65+G282+G283))*0.97</f>
        <v>33.991340800226304</v>
      </c>
      <c r="H302" s="66">
        <f t="shared" ca="1" si="117"/>
        <v>33.991340800226304</v>
      </c>
      <c r="I302" s="66">
        <f t="shared" ca="1" si="117"/>
        <v>33.991340800226304</v>
      </c>
      <c r="J302" s="66">
        <f t="shared" ca="1" si="117"/>
        <v>33.991340800226304</v>
      </c>
      <c r="K302" s="66">
        <f t="shared" ca="1" si="117"/>
        <v>33.991340800226304</v>
      </c>
      <c r="L302" s="66">
        <f t="shared" ca="1" si="117"/>
        <v>33.991340800226304</v>
      </c>
      <c r="M302" s="66">
        <f t="shared" ca="1" si="117"/>
        <v>33.991340800226304</v>
      </c>
      <c r="N302" s="15"/>
      <c r="O302" s="15"/>
    </row>
    <row r="303" spans="1:15" outlineLevel="2" x14ac:dyDescent="0.15">
      <c r="A303" s="1214"/>
      <c r="B303" s="8" t="s">
        <v>513</v>
      </c>
      <c r="D303" s="11"/>
      <c r="G303" s="338">
        <f t="shared" ref="G303:M303" ca="1" si="118">(G293/G302/2/G83)^0.5*10</f>
        <v>75.600987119818882</v>
      </c>
      <c r="H303" s="338">
        <f t="shared" ca="1" si="118"/>
        <v>75.600987119818882</v>
      </c>
      <c r="I303" s="338">
        <f t="shared" ca="1" si="118"/>
        <v>75.600987119818882</v>
      </c>
      <c r="J303" s="338">
        <f t="shared" ca="1" si="118"/>
        <v>75.600987119818882</v>
      </c>
      <c r="K303" s="338">
        <f t="shared" ca="1" si="118"/>
        <v>75.600987119818882</v>
      </c>
      <c r="L303" s="338">
        <f t="shared" ca="1" si="118"/>
        <v>75.600987119818882</v>
      </c>
      <c r="M303" s="338">
        <f t="shared" ca="1" si="118"/>
        <v>75.600987119818882</v>
      </c>
      <c r="N303" s="15"/>
      <c r="O303" s="15"/>
    </row>
    <row r="304" spans="1:15" outlineLevel="2" x14ac:dyDescent="0.15">
      <c r="A304" s="1214"/>
      <c r="B304" s="8" t="s">
        <v>514</v>
      </c>
      <c r="D304" s="11"/>
      <c r="G304" s="338">
        <f t="shared" ref="G304:M304" ca="1" si="119">G303*G83</f>
        <v>226.80296135945665</v>
      </c>
      <c r="H304" s="338">
        <f t="shared" ca="1" si="119"/>
        <v>226.80296135945665</v>
      </c>
      <c r="I304" s="338">
        <f t="shared" ca="1" si="119"/>
        <v>226.80296135945665</v>
      </c>
      <c r="J304" s="338">
        <f t="shared" ca="1" si="119"/>
        <v>226.80296135945665</v>
      </c>
      <c r="K304" s="338">
        <f t="shared" ca="1" si="119"/>
        <v>226.80296135945665</v>
      </c>
      <c r="L304" s="338">
        <f t="shared" ca="1" si="119"/>
        <v>226.80296135945665</v>
      </c>
      <c r="M304" s="338">
        <f t="shared" ca="1" si="119"/>
        <v>226.80296135945665</v>
      </c>
      <c r="N304" s="15"/>
      <c r="O304" s="15"/>
    </row>
    <row r="305" spans="1:24" outlineLevel="2" x14ac:dyDescent="0.15">
      <c r="A305" s="1214"/>
      <c r="B305" s="8" t="s">
        <v>515</v>
      </c>
      <c r="D305" s="11"/>
      <c r="G305" s="388">
        <f>2</f>
        <v>2</v>
      </c>
      <c r="H305" s="388">
        <f>2</f>
        <v>2</v>
      </c>
      <c r="I305" s="388">
        <f>2</f>
        <v>2</v>
      </c>
      <c r="J305" s="388">
        <f>2</f>
        <v>2</v>
      </c>
      <c r="K305" s="388">
        <f>2</f>
        <v>2</v>
      </c>
      <c r="L305" s="388">
        <f>2</f>
        <v>2</v>
      </c>
      <c r="M305" s="388">
        <f>2</f>
        <v>2</v>
      </c>
      <c r="N305" s="1029"/>
      <c r="O305" s="15"/>
    </row>
    <row r="306" spans="1:24" outlineLevel="2" x14ac:dyDescent="0.15">
      <c r="A306" s="1214"/>
      <c r="B306" s="8" t="s">
        <v>516</v>
      </c>
      <c r="D306" s="11"/>
      <c r="G306" s="388">
        <f>2</f>
        <v>2</v>
      </c>
      <c r="H306" s="388">
        <f>2</f>
        <v>2</v>
      </c>
      <c r="I306" s="388">
        <f>2</f>
        <v>2</v>
      </c>
      <c r="J306" s="388">
        <f>2</f>
        <v>2</v>
      </c>
      <c r="K306" s="388">
        <f>2</f>
        <v>2</v>
      </c>
      <c r="L306" s="388">
        <f>2</f>
        <v>2</v>
      </c>
      <c r="M306" s="388">
        <f>2</f>
        <v>2</v>
      </c>
      <c r="N306" s="1029"/>
      <c r="O306" s="15"/>
    </row>
    <row r="307" spans="1:24" outlineLevel="2" x14ac:dyDescent="0.15">
      <c r="A307" s="1214"/>
      <c r="B307" s="8" t="s">
        <v>517</v>
      </c>
      <c r="D307" s="11"/>
      <c r="G307" s="388">
        <f>4</f>
        <v>4</v>
      </c>
      <c r="H307" s="388">
        <f>4</f>
        <v>4</v>
      </c>
      <c r="I307" s="388">
        <f>4</f>
        <v>4</v>
      </c>
      <c r="J307" s="388">
        <f>4</f>
        <v>4</v>
      </c>
      <c r="K307" s="388">
        <f>4</f>
        <v>4</v>
      </c>
      <c r="L307" s="388">
        <f>4</f>
        <v>4</v>
      </c>
      <c r="M307" s="388">
        <f>4</f>
        <v>4</v>
      </c>
      <c r="N307" s="1029"/>
      <c r="O307" s="15"/>
    </row>
    <row r="308" spans="1:24" outlineLevel="2" x14ac:dyDescent="0.15">
      <c r="A308" s="1214"/>
      <c r="B308" s="8" t="s">
        <v>518</v>
      </c>
      <c r="D308" s="11"/>
      <c r="G308" s="504">
        <f t="shared" ref="G308:M308" ca="1" si="120">1.2*G86</f>
        <v>24.160953502281529</v>
      </c>
      <c r="H308" s="504">
        <f t="shared" ca="1" si="120"/>
        <v>24.160953502281529</v>
      </c>
      <c r="I308" s="504">
        <f t="shared" ca="1" si="120"/>
        <v>24.160953502281529</v>
      </c>
      <c r="J308" s="504">
        <f t="shared" ca="1" si="120"/>
        <v>24.160953502281529</v>
      </c>
      <c r="K308" s="504">
        <f t="shared" ca="1" si="120"/>
        <v>24.160953502281529</v>
      </c>
      <c r="L308" s="504">
        <f t="shared" ca="1" si="120"/>
        <v>24.160953502281529</v>
      </c>
      <c r="M308" s="504">
        <f t="shared" ca="1" si="120"/>
        <v>24.160953502281529</v>
      </c>
      <c r="N308" s="15"/>
      <c r="O308" s="15"/>
    </row>
    <row r="309" spans="1:24" outlineLevel="2" x14ac:dyDescent="0.15">
      <c r="A309" s="1214"/>
      <c r="B309" s="8" t="s">
        <v>519</v>
      </c>
      <c r="D309" s="11"/>
      <c r="G309" s="504">
        <f t="shared" ref="G309:M309" ca="1" si="121">G308-0.5*G305</f>
        <v>23.160953502281529</v>
      </c>
      <c r="H309" s="504">
        <f t="shared" ca="1" si="121"/>
        <v>23.160953502281529</v>
      </c>
      <c r="I309" s="504">
        <f t="shared" ca="1" si="121"/>
        <v>23.160953502281529</v>
      </c>
      <c r="J309" s="504">
        <f t="shared" ca="1" si="121"/>
        <v>23.160953502281529</v>
      </c>
      <c r="K309" s="504">
        <f t="shared" ca="1" si="121"/>
        <v>23.160953502281529</v>
      </c>
      <c r="L309" s="504">
        <f t="shared" ca="1" si="121"/>
        <v>23.160953502281529</v>
      </c>
      <c r="M309" s="504">
        <f t="shared" ca="1" si="121"/>
        <v>23.160953502281529</v>
      </c>
      <c r="N309" s="15"/>
      <c r="O309" s="15"/>
    </row>
    <row r="310" spans="1:24" outlineLevel="2" x14ac:dyDescent="0.15">
      <c r="A310" s="1214"/>
      <c r="B310" s="8" t="s">
        <v>520</v>
      </c>
      <c r="D310" s="11"/>
      <c r="G310" s="338">
        <f t="shared" ref="G310:M310" ca="1" si="122">G303-8</f>
        <v>67.600987119818882</v>
      </c>
      <c r="H310" s="338">
        <f t="shared" ca="1" si="122"/>
        <v>67.600987119818882</v>
      </c>
      <c r="I310" s="338">
        <f t="shared" ca="1" si="122"/>
        <v>67.600987119818882</v>
      </c>
      <c r="J310" s="338">
        <f t="shared" ca="1" si="122"/>
        <v>67.600987119818882</v>
      </c>
      <c r="K310" s="338">
        <f t="shared" ca="1" si="122"/>
        <v>67.600987119818882</v>
      </c>
      <c r="L310" s="338">
        <f t="shared" ca="1" si="122"/>
        <v>67.600987119818882</v>
      </c>
      <c r="M310" s="338">
        <f t="shared" ca="1" si="122"/>
        <v>67.600987119818882</v>
      </c>
      <c r="N310" s="15"/>
      <c r="O310" s="15"/>
    </row>
    <row r="311" spans="1:24" outlineLevel="2" x14ac:dyDescent="0.15">
      <c r="A311" s="1214"/>
      <c r="B311" s="8" t="s">
        <v>521</v>
      </c>
      <c r="D311" s="11"/>
      <c r="G311" s="338">
        <f t="shared" ref="G311:M311" ca="1" si="123">G303+2*G87+G306</f>
        <v>79.600987119818882</v>
      </c>
      <c r="H311" s="338">
        <f t="shared" ca="1" si="123"/>
        <v>79.600987119818882</v>
      </c>
      <c r="I311" s="338">
        <f t="shared" ca="1" si="123"/>
        <v>79.600987119818882</v>
      </c>
      <c r="J311" s="338">
        <f t="shared" ca="1" si="123"/>
        <v>79.600987119818882</v>
      </c>
      <c r="K311" s="338">
        <f t="shared" ca="1" si="123"/>
        <v>79.600987119818882</v>
      </c>
      <c r="L311" s="338">
        <f t="shared" ca="1" si="123"/>
        <v>79.600987119818882</v>
      </c>
      <c r="M311" s="338">
        <f t="shared" ca="1" si="123"/>
        <v>79.600987119818882</v>
      </c>
      <c r="N311" s="1029"/>
      <c r="O311" s="94"/>
      <c r="T311" s="15"/>
    </row>
    <row r="312" spans="1:24" outlineLevel="2" x14ac:dyDescent="0.15">
      <c r="A312" s="1214"/>
      <c r="B312" s="8" t="s">
        <v>522</v>
      </c>
      <c r="C312" s="68"/>
      <c r="D312" s="385"/>
      <c r="E312" s="68"/>
      <c r="F312" s="384"/>
      <c r="G312" s="338">
        <f t="shared" ref="G312:M312" ca="1" si="124">G304+2*(G98+G100)</f>
        <v>301.12486836401968</v>
      </c>
      <c r="H312" s="338">
        <f t="shared" ca="1" si="124"/>
        <v>301.12486836401968</v>
      </c>
      <c r="I312" s="338">
        <f t="shared" ca="1" si="124"/>
        <v>301.12486836401968</v>
      </c>
      <c r="J312" s="338">
        <f t="shared" ca="1" si="124"/>
        <v>301.12486836401968</v>
      </c>
      <c r="K312" s="338">
        <f t="shared" ca="1" si="124"/>
        <v>301.12486836401968</v>
      </c>
      <c r="L312" s="338">
        <f t="shared" ca="1" si="124"/>
        <v>301.12486836401968</v>
      </c>
      <c r="M312" s="338">
        <f t="shared" ca="1" si="124"/>
        <v>301.12486836401968</v>
      </c>
      <c r="N312" s="1029"/>
      <c r="T312" s="15"/>
    </row>
    <row r="313" spans="1:24" ht="14" outlineLevel="2" x14ac:dyDescent="0.2">
      <c r="A313" s="1214"/>
      <c r="B313" s="8" t="s">
        <v>523</v>
      </c>
      <c r="C313" s="26"/>
      <c r="D313" s="48"/>
      <c r="E313" s="26"/>
      <c r="G313" s="338">
        <f t="shared" ref="G313:M313" ca="1" si="125">G86*G311*G312/1000</f>
        <v>482.61175967614855</v>
      </c>
      <c r="H313" s="338">
        <f t="shared" ca="1" si="125"/>
        <v>482.61175967614855</v>
      </c>
      <c r="I313" s="338">
        <f t="shared" ca="1" si="125"/>
        <v>482.61175967614855</v>
      </c>
      <c r="J313" s="338">
        <f t="shared" ca="1" si="125"/>
        <v>482.61175967614855</v>
      </c>
      <c r="K313" s="338">
        <f t="shared" ca="1" si="125"/>
        <v>482.61175967614855</v>
      </c>
      <c r="L313" s="338">
        <f t="shared" ca="1" si="125"/>
        <v>482.61175967614855</v>
      </c>
      <c r="M313" s="338">
        <f t="shared" ca="1" si="125"/>
        <v>482.61175967614855</v>
      </c>
      <c r="T313" s="15"/>
    </row>
    <row r="314" spans="1:24" outlineLevel="2" x14ac:dyDescent="0.15">
      <c r="A314" s="1214"/>
      <c r="C314" s="26"/>
      <c r="D314" s="48"/>
      <c r="E314" s="26"/>
      <c r="G314" s="338"/>
      <c r="H314" s="338"/>
      <c r="I314" s="338"/>
      <c r="J314" s="338"/>
      <c r="K314" s="338"/>
      <c r="L314" s="338"/>
      <c r="M314" s="338"/>
      <c r="T314" s="15"/>
    </row>
    <row r="315" spans="1:24" ht="16" outlineLevel="2" x14ac:dyDescent="0.2">
      <c r="A315" s="1214"/>
      <c r="B315" s="5" t="s">
        <v>524</v>
      </c>
      <c r="D315" s="11"/>
      <c r="G315" s="48"/>
      <c r="H315" s="48"/>
      <c r="I315" s="48"/>
      <c r="J315" s="48"/>
      <c r="K315" s="48"/>
      <c r="L315" s="48"/>
      <c r="M315" s="48"/>
      <c r="N315" s="93"/>
      <c r="O315" s="93"/>
      <c r="T315" s="15"/>
    </row>
    <row r="316" spans="1:24" outlineLevel="2" x14ac:dyDescent="0.15">
      <c r="A316" s="1214"/>
      <c r="B316" s="8" t="s">
        <v>192</v>
      </c>
      <c r="G316" s="66">
        <f t="shared" ref="G316:M316" ca="1" si="126">G36</f>
        <v>135.87942649237613</v>
      </c>
      <c r="H316" s="66">
        <f t="shared" ca="1" si="126"/>
        <v>135.87942649237613</v>
      </c>
      <c r="I316" s="66">
        <f t="shared" ca="1" si="126"/>
        <v>135.87942649237613</v>
      </c>
      <c r="J316" s="66">
        <f t="shared" ca="1" si="126"/>
        <v>135.87942649237613</v>
      </c>
      <c r="K316" s="66">
        <f t="shared" ca="1" si="126"/>
        <v>135.87942649237613</v>
      </c>
      <c r="L316" s="66">
        <f t="shared" ca="1" si="126"/>
        <v>135.87942649237613</v>
      </c>
      <c r="M316" s="66">
        <f t="shared" ca="1" si="126"/>
        <v>135.87942649237613</v>
      </c>
      <c r="N316" s="93"/>
      <c r="O316" s="93"/>
      <c r="T316" s="96"/>
    </row>
    <row r="317" spans="1:24" outlineLevel="2" x14ac:dyDescent="0.15">
      <c r="A317" s="1214"/>
      <c r="G317" s="66"/>
      <c r="H317" s="66"/>
      <c r="I317" s="66"/>
      <c r="J317" s="66"/>
      <c r="K317" s="66"/>
      <c r="L317" s="66"/>
      <c r="M317" s="66"/>
      <c r="N317" s="93"/>
      <c r="O317" s="93"/>
      <c r="T317" s="96"/>
    </row>
    <row r="318" spans="1:24" ht="14" outlineLevel="2" x14ac:dyDescent="0.15">
      <c r="A318" s="1214"/>
      <c r="B318" s="507" t="s">
        <v>525</v>
      </c>
      <c r="D318" s="156"/>
      <c r="G318" s="66"/>
      <c r="H318" s="66"/>
      <c r="I318" s="66"/>
      <c r="J318" s="66"/>
      <c r="K318" s="66"/>
      <c r="L318" s="66"/>
      <c r="M318" s="66"/>
      <c r="N318" s="10"/>
      <c r="O318" s="10"/>
      <c r="S318" s="96"/>
      <c r="T318" s="96"/>
    </row>
    <row r="319" spans="1:24" outlineLevel="2" x14ac:dyDescent="0.15">
      <c r="A319" s="1214"/>
      <c r="B319" s="8" t="s">
        <v>526</v>
      </c>
      <c r="D319" s="379"/>
      <c r="G319" s="66">
        <f t="shared" ref="G319:M319" ca="1" si="127">G86+G341</f>
        <v>20.53412791856794</v>
      </c>
      <c r="H319" s="66">
        <f t="shared" ca="1" si="127"/>
        <v>20.53412791856794</v>
      </c>
      <c r="I319" s="66">
        <f t="shared" ca="1" si="127"/>
        <v>20.53412791856794</v>
      </c>
      <c r="J319" s="66">
        <f t="shared" ca="1" si="127"/>
        <v>20.53412791856794</v>
      </c>
      <c r="K319" s="66">
        <f t="shared" ca="1" si="127"/>
        <v>20.53412791856794</v>
      </c>
      <c r="L319" s="66">
        <f t="shared" ca="1" si="127"/>
        <v>20.53412791856794</v>
      </c>
      <c r="M319" s="66">
        <f t="shared" ca="1" si="127"/>
        <v>20.53412791856794</v>
      </c>
      <c r="N319" s="823"/>
      <c r="O319" s="15"/>
    </row>
    <row r="320" spans="1:24" s="6" customFormat="1" ht="16" outlineLevel="2" x14ac:dyDescent="0.2">
      <c r="A320" s="1214"/>
      <c r="B320" s="8" t="s">
        <v>527</v>
      </c>
      <c r="C320" s="8"/>
      <c r="D320" s="379"/>
      <c r="E320" s="8"/>
      <c r="F320" s="8"/>
      <c r="G320" s="66">
        <f t="shared" ref="G320:M320" ca="1" si="128">G319+2*(G92-G327)</f>
        <v>32.53412791856794</v>
      </c>
      <c r="H320" s="66">
        <f t="shared" ca="1" si="128"/>
        <v>32.53412791856794</v>
      </c>
      <c r="I320" s="66">
        <f t="shared" ca="1" si="128"/>
        <v>32.53412791856794</v>
      </c>
      <c r="J320" s="66">
        <f t="shared" ca="1" si="128"/>
        <v>32.53412791856794</v>
      </c>
      <c r="K320" s="66">
        <f t="shared" ca="1" si="128"/>
        <v>32.53412791856794</v>
      </c>
      <c r="L320" s="66">
        <f t="shared" ca="1" si="128"/>
        <v>32.53412791856794</v>
      </c>
      <c r="M320" s="66">
        <f t="shared" ca="1" si="128"/>
        <v>32.53412791856794</v>
      </c>
      <c r="N320" s="823"/>
      <c r="O320" s="124"/>
      <c r="P320" s="8"/>
      <c r="Q320" s="8"/>
      <c r="R320" s="8"/>
      <c r="S320" s="8"/>
      <c r="T320" s="8"/>
      <c r="U320" s="8"/>
      <c r="V320" s="8"/>
      <c r="W320" s="8"/>
      <c r="X320" s="8"/>
    </row>
    <row r="321" spans="1:24" ht="16" outlineLevel="2" x14ac:dyDescent="0.2">
      <c r="A321" s="1214"/>
      <c r="B321" s="8" t="s">
        <v>528</v>
      </c>
      <c r="D321" s="379"/>
      <c r="G321" s="11">
        <f t="shared" ref="G321:M321" si="129">G168+ (G26 - 1)*2</f>
        <v>29</v>
      </c>
      <c r="H321" s="11">
        <f t="shared" si="129"/>
        <v>29</v>
      </c>
      <c r="I321" s="11">
        <f t="shared" si="129"/>
        <v>29</v>
      </c>
      <c r="J321" s="11">
        <f t="shared" si="129"/>
        <v>29</v>
      </c>
      <c r="K321" s="11">
        <f t="shared" si="129"/>
        <v>29</v>
      </c>
      <c r="L321" s="11">
        <f t="shared" si="129"/>
        <v>29</v>
      </c>
      <c r="M321" s="11">
        <f t="shared" si="129"/>
        <v>29</v>
      </c>
      <c r="N321" s="15"/>
      <c r="O321" s="15"/>
      <c r="T321" s="66"/>
      <c r="U321" s="6"/>
      <c r="V321" s="6"/>
      <c r="W321" s="6"/>
      <c r="X321" s="6"/>
    </row>
    <row r="322" spans="1:24" outlineLevel="2" x14ac:dyDescent="0.15">
      <c r="A322" s="1214"/>
      <c r="B322" s="8" t="s">
        <v>529</v>
      </c>
      <c r="D322" s="379"/>
      <c r="G322" s="66">
        <f t="shared" ref="G322:M322" ca="1" si="130">G321*G320/10*G165*_rho_Cu</f>
        <v>338.14671193442774</v>
      </c>
      <c r="H322" s="66">
        <f t="shared" ca="1" si="130"/>
        <v>338.14671193442774</v>
      </c>
      <c r="I322" s="66">
        <f t="shared" ca="1" si="130"/>
        <v>338.14671193442774</v>
      </c>
      <c r="J322" s="66">
        <f t="shared" ca="1" si="130"/>
        <v>338.14671193442774</v>
      </c>
      <c r="K322" s="66">
        <f t="shared" ca="1" si="130"/>
        <v>338.14671193442774</v>
      </c>
      <c r="L322" s="66">
        <f t="shared" ca="1" si="130"/>
        <v>338.14671193442774</v>
      </c>
      <c r="M322" s="66">
        <f t="shared" ca="1" si="130"/>
        <v>338.14671193442774</v>
      </c>
      <c r="N322" s="96"/>
      <c r="O322" s="96"/>
      <c r="T322" s="68"/>
    </row>
    <row r="323" spans="1:24" outlineLevel="2" x14ac:dyDescent="0.15">
      <c r="A323" s="1214"/>
      <c r="D323" s="379"/>
      <c r="G323" s="66"/>
      <c r="H323" s="66"/>
      <c r="I323" s="66"/>
      <c r="J323" s="66"/>
      <c r="K323" s="66"/>
      <c r="L323" s="66"/>
      <c r="M323" s="66"/>
      <c r="N323" s="96"/>
      <c r="O323" s="96"/>
      <c r="T323" s="68"/>
    </row>
    <row r="324" spans="1:24" ht="14" outlineLevel="2" x14ac:dyDescent="0.15">
      <c r="A324" s="1214"/>
      <c r="B324" s="507" t="s">
        <v>530</v>
      </c>
      <c r="D324" s="379"/>
      <c r="G324" s="66"/>
      <c r="H324" s="66"/>
      <c r="I324" s="66"/>
      <c r="J324" s="66"/>
      <c r="K324" s="66"/>
      <c r="L324" s="66"/>
      <c r="M324" s="66"/>
      <c r="N324" s="96"/>
      <c r="O324" s="96"/>
    </row>
    <row r="325" spans="1:24" outlineLevel="2" x14ac:dyDescent="0.15">
      <c r="A325" s="1214"/>
      <c r="B325" s="8" t="s">
        <v>531</v>
      </c>
      <c r="D325" s="379"/>
      <c r="G325" s="66">
        <f t="shared" ref="G325:M325" ca="1" si="131">G25*(G86+G341)-0.5*G86</f>
        <v>400.61549441207484</v>
      </c>
      <c r="H325" s="66">
        <f t="shared" ca="1" si="131"/>
        <v>400.61549441207484</v>
      </c>
      <c r="I325" s="66">
        <f t="shared" ca="1" si="131"/>
        <v>400.61549441207484</v>
      </c>
      <c r="J325" s="66">
        <f t="shared" ca="1" si="131"/>
        <v>400.61549441207484</v>
      </c>
      <c r="K325" s="66">
        <f t="shared" ca="1" si="131"/>
        <v>400.61549441207484</v>
      </c>
      <c r="L325" s="66">
        <f t="shared" ca="1" si="131"/>
        <v>400.61549441207484</v>
      </c>
      <c r="M325" s="66">
        <f t="shared" ca="1" si="131"/>
        <v>400.61549441207484</v>
      </c>
      <c r="N325" s="66"/>
      <c r="O325" s="66"/>
    </row>
    <row r="326" spans="1:24" outlineLevel="2" x14ac:dyDescent="0.15">
      <c r="A326" s="1214"/>
      <c r="B326" s="8" t="s">
        <v>532</v>
      </c>
      <c r="D326" s="379"/>
      <c r="G326" s="66">
        <f t="shared" ref="G326:M326" ca="1" si="132">G311*0.9</f>
        <v>71.640888407836997</v>
      </c>
      <c r="H326" s="66">
        <f t="shared" ca="1" si="132"/>
        <v>71.640888407836997</v>
      </c>
      <c r="I326" s="66">
        <f t="shared" ca="1" si="132"/>
        <v>71.640888407836997</v>
      </c>
      <c r="J326" s="66">
        <f t="shared" ca="1" si="132"/>
        <v>71.640888407836997</v>
      </c>
      <c r="K326" s="66">
        <f t="shared" ca="1" si="132"/>
        <v>71.640888407836997</v>
      </c>
      <c r="L326" s="66">
        <f t="shared" ca="1" si="132"/>
        <v>71.640888407836997</v>
      </c>
      <c r="M326" s="66">
        <f t="shared" ca="1" si="132"/>
        <v>71.640888407836997</v>
      </c>
      <c r="N326" s="823"/>
      <c r="O326" s="66"/>
      <c r="P326" s="68"/>
    </row>
    <row r="327" spans="1:24" outlineLevel="2" x14ac:dyDescent="0.15">
      <c r="A327" s="1214"/>
      <c r="B327" s="8" t="s">
        <v>533</v>
      </c>
      <c r="D327" s="379"/>
      <c r="G327" s="148">
        <f>2</f>
        <v>2</v>
      </c>
      <c r="H327" s="148">
        <f>2</f>
        <v>2</v>
      </c>
      <c r="I327" s="148">
        <f>2</f>
        <v>2</v>
      </c>
      <c r="J327" s="148">
        <f>2</f>
        <v>2</v>
      </c>
      <c r="K327" s="148">
        <f>2</f>
        <v>2</v>
      </c>
      <c r="L327" s="148">
        <f>2</f>
        <v>2</v>
      </c>
      <c r="M327" s="148">
        <f>2</f>
        <v>2</v>
      </c>
      <c r="N327" s="147"/>
      <c r="O327" s="101"/>
      <c r="P327" s="68"/>
      <c r="R327" s="11"/>
      <c r="S327" s="11"/>
      <c r="T327" s="11"/>
      <c r="U327" s="11"/>
      <c r="V327" s="11"/>
      <c r="W327" s="11"/>
      <c r="X327" s="11"/>
    </row>
    <row r="328" spans="1:24" ht="15" outlineLevel="2" x14ac:dyDescent="0.15">
      <c r="A328" s="1214"/>
      <c r="B328" s="8" t="s">
        <v>534</v>
      </c>
      <c r="D328" s="379"/>
      <c r="G328" s="66">
        <f t="shared" ref="G328:M328" ca="1" si="133">2*G325*G326*G327/1000*2.1</f>
        <v>241.08377940885754</v>
      </c>
      <c r="H328" s="66">
        <f t="shared" ca="1" si="133"/>
        <v>241.08377940885754</v>
      </c>
      <c r="I328" s="66">
        <f t="shared" ca="1" si="133"/>
        <v>241.08377940885754</v>
      </c>
      <c r="J328" s="66">
        <f t="shared" ca="1" si="133"/>
        <v>241.08377940885754</v>
      </c>
      <c r="K328" s="66">
        <f t="shared" ca="1" si="133"/>
        <v>241.08377940885754</v>
      </c>
      <c r="L328" s="66">
        <f t="shared" ca="1" si="133"/>
        <v>241.08377940885754</v>
      </c>
      <c r="M328" s="66">
        <f t="shared" ca="1" si="133"/>
        <v>241.08377940885754</v>
      </c>
      <c r="N328" s="147"/>
      <c r="O328" s="66"/>
    </row>
    <row r="329" spans="1:24" outlineLevel="2" x14ac:dyDescent="0.15">
      <c r="A329" s="1214"/>
      <c r="D329" s="379"/>
      <c r="G329" s="66"/>
      <c r="H329" s="66"/>
      <c r="I329" s="66"/>
      <c r="J329" s="66"/>
      <c r="K329" s="66"/>
      <c r="L329" s="66"/>
      <c r="M329" s="66"/>
      <c r="N329" s="147"/>
      <c r="O329" s="66"/>
    </row>
    <row r="330" spans="1:24" ht="14" outlineLevel="2" x14ac:dyDescent="0.15">
      <c r="A330" s="1214"/>
      <c r="B330" s="507" t="s">
        <v>535</v>
      </c>
      <c r="D330" s="379"/>
      <c r="G330" s="66"/>
      <c r="H330" s="66"/>
      <c r="I330" s="66"/>
      <c r="J330" s="66"/>
      <c r="K330" s="66"/>
      <c r="L330" s="66"/>
      <c r="M330" s="66"/>
      <c r="N330" s="66"/>
      <c r="O330" s="66"/>
    </row>
    <row r="331" spans="1:24" outlineLevel="2" x14ac:dyDescent="0.15">
      <c r="A331" s="1214"/>
      <c r="B331" s="8" t="s">
        <v>536</v>
      </c>
      <c r="D331" s="379"/>
      <c r="G331" s="66">
        <f t="shared" ref="G331:M331" ca="1" si="134">G97+20</f>
        <v>60</v>
      </c>
      <c r="H331" s="66">
        <f t="shared" ca="1" si="134"/>
        <v>60</v>
      </c>
      <c r="I331" s="66">
        <f t="shared" ca="1" si="134"/>
        <v>60</v>
      </c>
      <c r="J331" s="66">
        <f t="shared" ca="1" si="134"/>
        <v>60</v>
      </c>
      <c r="K331" s="66">
        <f t="shared" ca="1" si="134"/>
        <v>60</v>
      </c>
      <c r="L331" s="66">
        <f t="shared" ca="1" si="134"/>
        <v>60</v>
      </c>
      <c r="M331" s="66">
        <f t="shared" ca="1" si="134"/>
        <v>60</v>
      </c>
      <c r="N331" s="66"/>
      <c r="O331" s="11"/>
    </row>
    <row r="332" spans="1:24" outlineLevel="2" x14ac:dyDescent="0.15">
      <c r="A332" s="1214"/>
      <c r="B332" s="8" t="s">
        <v>537</v>
      </c>
      <c r="D332" s="379"/>
      <c r="G332" s="66">
        <f t="shared" ref="G332:M332" ca="1" si="135">2*G331/10*G173*_rho_Cu</f>
        <v>49.326955778352051</v>
      </c>
      <c r="H332" s="66">
        <f t="shared" ca="1" si="135"/>
        <v>49.326955778352051</v>
      </c>
      <c r="I332" s="66">
        <f t="shared" ca="1" si="135"/>
        <v>49.326955778352051</v>
      </c>
      <c r="J332" s="66">
        <f t="shared" ca="1" si="135"/>
        <v>49.326955778352051</v>
      </c>
      <c r="K332" s="66">
        <f t="shared" ca="1" si="135"/>
        <v>49.326955778352051</v>
      </c>
      <c r="L332" s="66">
        <f t="shared" ca="1" si="135"/>
        <v>49.326955778352051</v>
      </c>
      <c r="M332" s="66">
        <f t="shared" ca="1" si="135"/>
        <v>49.326955778352051</v>
      </c>
      <c r="N332" s="11"/>
      <c r="O332" s="11"/>
    </row>
    <row r="333" spans="1:24" outlineLevel="2" x14ac:dyDescent="0.15">
      <c r="A333" s="1214"/>
      <c r="D333" s="379"/>
      <c r="G333" s="66"/>
      <c r="H333" s="66"/>
      <c r="I333" s="66"/>
      <c r="J333" s="66"/>
      <c r="K333" s="66"/>
      <c r="L333" s="66"/>
      <c r="M333" s="66"/>
      <c r="N333" s="11"/>
      <c r="O333" s="11"/>
    </row>
    <row r="334" spans="1:24" ht="14" outlineLevel="2" x14ac:dyDescent="0.15">
      <c r="A334" s="1214"/>
      <c r="B334" s="507" t="s">
        <v>538</v>
      </c>
      <c r="D334" s="379"/>
      <c r="G334" s="66"/>
      <c r="H334" s="66"/>
      <c r="I334" s="66"/>
      <c r="J334" s="66"/>
      <c r="K334" s="66"/>
      <c r="L334" s="66"/>
      <c r="M334" s="66"/>
      <c r="N334" s="146"/>
      <c r="O334" s="146"/>
      <c r="P334" s="68"/>
    </row>
    <row r="335" spans="1:24" outlineLevel="2" x14ac:dyDescent="0.15">
      <c r="A335" s="1214"/>
      <c r="B335" s="8" t="s">
        <v>539</v>
      </c>
      <c r="D335" s="379"/>
      <c r="G335" s="333">
        <f>35</f>
        <v>35</v>
      </c>
      <c r="H335" s="333">
        <f>35</f>
        <v>35</v>
      </c>
      <c r="I335" s="333">
        <f>35</f>
        <v>35</v>
      </c>
      <c r="J335" s="333">
        <f>35</f>
        <v>35</v>
      </c>
      <c r="K335" s="333">
        <f>35</f>
        <v>35</v>
      </c>
      <c r="L335" s="333">
        <f>35</f>
        <v>35</v>
      </c>
      <c r="M335" s="333">
        <f>35</f>
        <v>35</v>
      </c>
      <c r="N335" s="134"/>
      <c r="O335" s="134"/>
    </row>
    <row r="336" spans="1:24" outlineLevel="2" x14ac:dyDescent="0.15">
      <c r="A336" s="1214"/>
      <c r="B336" s="8" t="s">
        <v>540</v>
      </c>
      <c r="D336" s="379"/>
      <c r="G336" s="66">
        <f t="shared" ref="G336:M336" ca="1" si="136">IF(G29=1,0,2*G335/10*G181*_rho_Cu)*1.2</f>
        <v>48.831194896626371</v>
      </c>
      <c r="H336" s="66">
        <f t="shared" ca="1" si="136"/>
        <v>48.831194896626371</v>
      </c>
      <c r="I336" s="66">
        <f t="shared" ca="1" si="136"/>
        <v>48.831194896626371</v>
      </c>
      <c r="J336" s="66">
        <f t="shared" ca="1" si="136"/>
        <v>48.831194896626371</v>
      </c>
      <c r="K336" s="66">
        <f t="shared" ca="1" si="136"/>
        <v>48.831194896626371</v>
      </c>
      <c r="L336" s="66">
        <f t="shared" ca="1" si="136"/>
        <v>48.831194896626371</v>
      </c>
      <c r="M336" s="66">
        <f t="shared" ca="1" si="136"/>
        <v>48.831194896626371</v>
      </c>
      <c r="N336" s="134"/>
      <c r="O336" s="134"/>
    </row>
    <row r="337" spans="1:15" outlineLevel="2" x14ac:dyDescent="0.15">
      <c r="A337" s="1214"/>
      <c r="D337" s="379"/>
      <c r="G337" s="66"/>
      <c r="H337" s="66"/>
      <c r="I337" s="66"/>
      <c r="J337" s="66"/>
      <c r="K337" s="66"/>
      <c r="L337" s="66"/>
      <c r="M337" s="66"/>
      <c r="N337" s="134"/>
      <c r="O337" s="134"/>
    </row>
    <row r="338" spans="1:15" ht="14" outlineLevel="2" x14ac:dyDescent="0.15">
      <c r="A338" s="1214"/>
      <c r="B338" s="507" t="s">
        <v>541</v>
      </c>
      <c r="D338" s="379"/>
      <c r="F338" s="384"/>
      <c r="G338" s="335"/>
      <c r="H338" s="335"/>
      <c r="I338" s="335"/>
      <c r="J338" s="335"/>
      <c r="K338" s="335"/>
      <c r="L338" s="335"/>
      <c r="M338" s="335"/>
      <c r="N338" s="66"/>
    </row>
    <row r="339" spans="1:15" outlineLevel="2" x14ac:dyDescent="0.15">
      <c r="A339" s="1214"/>
      <c r="B339" s="8" t="s">
        <v>542</v>
      </c>
      <c r="D339" s="379"/>
      <c r="F339" s="384"/>
      <c r="G339" s="335"/>
      <c r="H339" s="335"/>
      <c r="I339" s="335"/>
      <c r="J339" s="335"/>
      <c r="K339" s="335"/>
      <c r="L339" s="335"/>
      <c r="M339" s="335"/>
      <c r="N339" s="66"/>
    </row>
    <row r="340" spans="1:15" outlineLevel="2" x14ac:dyDescent="0.15">
      <c r="A340" s="1214"/>
      <c r="B340" s="8" t="s">
        <v>542</v>
      </c>
      <c r="D340" s="379"/>
      <c r="G340" s="338">
        <f t="shared" ref="G340:M340" ca="1" si="137">G304+6</f>
        <v>232.80296135945665</v>
      </c>
      <c r="H340" s="338">
        <f t="shared" ca="1" si="137"/>
        <v>232.80296135945665</v>
      </c>
      <c r="I340" s="338">
        <f t="shared" ca="1" si="137"/>
        <v>232.80296135945665</v>
      </c>
      <c r="J340" s="338">
        <f t="shared" ca="1" si="137"/>
        <v>232.80296135945665</v>
      </c>
      <c r="K340" s="338">
        <f t="shared" ca="1" si="137"/>
        <v>232.80296135945665</v>
      </c>
      <c r="L340" s="338">
        <f t="shared" ca="1" si="137"/>
        <v>232.80296135945665</v>
      </c>
      <c r="M340" s="338">
        <f t="shared" ca="1" si="137"/>
        <v>232.80296135945665</v>
      </c>
      <c r="N340" s="66"/>
    </row>
    <row r="341" spans="1:15" outlineLevel="2" x14ac:dyDescent="0.15">
      <c r="A341" s="1214"/>
      <c r="B341" s="8" t="s">
        <v>543</v>
      </c>
      <c r="D341" s="379"/>
      <c r="E341" s="88"/>
      <c r="G341" s="96">
        <f>'Vehicle Considerations'!$B$36*10</f>
        <v>0.4</v>
      </c>
      <c r="H341" s="96">
        <f>'Vehicle Considerations'!$B$36*10</f>
        <v>0.4</v>
      </c>
      <c r="I341" s="96">
        <f>'Vehicle Considerations'!$B$36*10</f>
        <v>0.4</v>
      </c>
      <c r="J341" s="96">
        <f>'Vehicle Considerations'!$B$36*10</f>
        <v>0.4</v>
      </c>
      <c r="K341" s="96">
        <f>'Vehicle Considerations'!$B$36*10</f>
        <v>0.4</v>
      </c>
      <c r="L341" s="96">
        <f>'Vehicle Considerations'!$B$36*10</f>
        <v>0.4</v>
      </c>
      <c r="M341" s="96">
        <f>'Vehicle Considerations'!$B$36*10</f>
        <v>0.4</v>
      </c>
      <c r="N341" s="339"/>
    </row>
    <row r="342" spans="1:15" outlineLevel="2" x14ac:dyDescent="0.15">
      <c r="A342" s="1214"/>
      <c r="B342" s="8" t="s">
        <v>544</v>
      </c>
      <c r="D342" s="379"/>
      <c r="F342" s="88"/>
      <c r="G342" s="97">
        <f ca="1">(G25+1)*G340*((G311+2*G341)+0.95*G86*2)*G341/1000*Lists!$AS$86</f>
        <v>626.49936166859004</v>
      </c>
      <c r="H342" s="97">
        <f ca="1">(H25+1)*H340*((H311+2*H341)+0.95*H86*2)*H341/1000*Lists!$AS$86</f>
        <v>626.49936166859004</v>
      </c>
      <c r="I342" s="97">
        <f ca="1">(I25+1)*I340*((I311+2*I341)+0.95*I86*2)*I341/1000*Lists!$AS$86</f>
        <v>626.49936166859004</v>
      </c>
      <c r="J342" s="97">
        <f ca="1">(J25+1)*J340*((J311+2*J341)+0.95*J86*2)*J341/1000*Lists!$AS$86</f>
        <v>626.49936166859004</v>
      </c>
      <c r="K342" s="97">
        <f ca="1">(K25+1)*K340*((K311+2*K341)+0.95*K86*2)*K341/1000*Lists!$AS$86</f>
        <v>626.49936166859004</v>
      </c>
      <c r="L342" s="97">
        <f ca="1">(L25+1)*L340*((L311+2*L341)+0.95*L86*2)*L341/1000*Lists!$AS$86</f>
        <v>626.49936166859004</v>
      </c>
      <c r="M342" s="97">
        <f ca="1">(M25+1)*M340*((M311+2*M341)+0.95*M86*2)*M341/1000*Lists!$AS$86</f>
        <v>626.49936166859004</v>
      </c>
      <c r="N342" s="339"/>
    </row>
    <row r="343" spans="1:15" outlineLevel="2" x14ac:dyDescent="0.15">
      <c r="A343" s="1214"/>
      <c r="D343" s="379"/>
      <c r="F343" s="88"/>
      <c r="G343" s="97"/>
      <c r="H343" s="97"/>
      <c r="I343" s="97"/>
      <c r="J343" s="97"/>
      <c r="K343" s="97"/>
      <c r="L343" s="97"/>
      <c r="M343" s="97"/>
      <c r="N343" s="339"/>
    </row>
    <row r="344" spans="1:15" ht="14" outlineLevel="2" x14ac:dyDescent="0.15">
      <c r="A344" s="1214"/>
      <c r="B344" s="507" t="s">
        <v>545</v>
      </c>
      <c r="D344" s="379"/>
      <c r="G344" s="66"/>
      <c r="H344" s="66"/>
      <c r="I344" s="66"/>
      <c r="J344" s="66"/>
      <c r="K344" s="66"/>
      <c r="L344" s="66"/>
      <c r="M344" s="66"/>
      <c r="N344" s="134"/>
      <c r="O344" s="134"/>
    </row>
    <row r="345" spans="1:15" ht="15" outlineLevel="2" x14ac:dyDescent="0.15">
      <c r="A345" s="1214"/>
      <c r="B345" s="8" t="s">
        <v>546</v>
      </c>
      <c r="D345" s="379"/>
      <c r="G345" s="97">
        <f t="shared" ref="G345:M345" si="138">120*12*16/1000*2</f>
        <v>46.08</v>
      </c>
      <c r="H345" s="97">
        <f t="shared" si="138"/>
        <v>46.08</v>
      </c>
      <c r="I345" s="97">
        <f t="shared" si="138"/>
        <v>46.08</v>
      </c>
      <c r="J345" s="97">
        <f t="shared" si="138"/>
        <v>46.08</v>
      </c>
      <c r="K345" s="97">
        <f t="shared" si="138"/>
        <v>46.08</v>
      </c>
      <c r="L345" s="97">
        <f t="shared" si="138"/>
        <v>46.08</v>
      </c>
      <c r="M345" s="97">
        <f t="shared" si="138"/>
        <v>46.08</v>
      </c>
      <c r="N345" s="134"/>
      <c r="O345" s="134"/>
    </row>
    <row r="346" spans="1:15" outlineLevel="2" x14ac:dyDescent="0.15">
      <c r="A346" s="1214"/>
      <c r="B346" s="8" t="s">
        <v>547</v>
      </c>
      <c r="D346" s="379"/>
      <c r="G346" s="341" t="str">
        <f>Lists!$AR$96</f>
        <v>Stainless Steel</v>
      </c>
      <c r="H346" s="341" t="str">
        <f>Lists!$AR$96</f>
        <v>Stainless Steel</v>
      </c>
      <c r="I346" s="341" t="str">
        <f>Lists!$AR$96</f>
        <v>Stainless Steel</v>
      </c>
      <c r="J346" s="341" t="str">
        <f>Lists!$AR$96</f>
        <v>Stainless Steel</v>
      </c>
      <c r="K346" s="341" t="str">
        <f>Lists!$AR$96</f>
        <v>Stainless Steel</v>
      </c>
      <c r="L346" s="341" t="str">
        <f>Lists!$AR$96</f>
        <v>Stainless Steel</v>
      </c>
      <c r="M346" s="341" t="str">
        <f>Lists!$AR$96</f>
        <v>Stainless Steel</v>
      </c>
      <c r="N346" s="134"/>
      <c r="O346" s="134"/>
    </row>
    <row r="347" spans="1:15" outlineLevel="2" x14ac:dyDescent="0.15">
      <c r="A347" s="1214"/>
      <c r="B347" s="8" t="s">
        <v>548</v>
      </c>
      <c r="D347" s="379"/>
      <c r="F347" s="384"/>
      <c r="G347" s="342">
        <f>0.3</f>
        <v>0.3</v>
      </c>
      <c r="H347" s="342">
        <f t="shared" ref="H347:M347" si="139">0.3</f>
        <v>0.3</v>
      </c>
      <c r="I347" s="342">
        <f t="shared" si="139"/>
        <v>0.3</v>
      </c>
      <c r="J347" s="342">
        <f t="shared" si="139"/>
        <v>0.3</v>
      </c>
      <c r="K347" s="342">
        <f t="shared" si="139"/>
        <v>0.3</v>
      </c>
      <c r="L347" s="342">
        <f t="shared" si="139"/>
        <v>0.3</v>
      </c>
      <c r="M347" s="342">
        <f t="shared" si="139"/>
        <v>0.3</v>
      </c>
      <c r="N347" s="337"/>
    </row>
    <row r="348" spans="1:15" outlineLevel="2" x14ac:dyDescent="0.15">
      <c r="A348" s="1214"/>
      <c r="B348" s="8" t="s">
        <v>549</v>
      </c>
      <c r="D348" s="379"/>
      <c r="F348" s="384"/>
      <c r="G348" s="97">
        <f ca="1">Lists!$AS$96*G347*(G354*G355+G354*G356+G355*G356)*2/1000</f>
        <v>868.09965564350932</v>
      </c>
      <c r="H348" s="97">
        <f ca="1">Lists!$AS$96*H347*(H354*H355+H354*H356+H355*H356)*2/1000</f>
        <v>868.09965564350932</v>
      </c>
      <c r="I348" s="97">
        <f ca="1">Lists!$AS$96*I347*(I354*I355+I354*I356+I355*I356)*2/1000</f>
        <v>868.09965564350932</v>
      </c>
      <c r="J348" s="97">
        <f ca="1">Lists!$AS$96*J347*(J354*J355+J354*J356+J355*J356)*2/1000</f>
        <v>868.09965564350932</v>
      </c>
      <c r="K348" s="97">
        <f ca="1">Lists!$AS$96*K347*(K354*K355+K354*K356+K355*K356)*2/1000</f>
        <v>868.09965564350932</v>
      </c>
      <c r="L348" s="97">
        <f ca="1">Lists!$AS$96*L347*(L354*L355+L354*L356+L355*L356)*2/1000</f>
        <v>868.09965564350932</v>
      </c>
      <c r="M348" s="97">
        <f ca="1">Lists!$AS$96*M347*(M354*M355+M354*M356+M355*M356)*2/1000</f>
        <v>868.09965564350932</v>
      </c>
      <c r="N348" s="339"/>
    </row>
    <row r="349" spans="1:15" outlineLevel="2" x14ac:dyDescent="0.15">
      <c r="A349" s="1214"/>
      <c r="B349" s="8" t="s">
        <v>550</v>
      </c>
      <c r="D349" s="379"/>
      <c r="F349" s="88"/>
      <c r="G349" s="390">
        <f>5</f>
        <v>5</v>
      </c>
      <c r="H349" s="390">
        <f>5</f>
        <v>5</v>
      </c>
      <c r="I349" s="390">
        <f>5</f>
        <v>5</v>
      </c>
      <c r="J349" s="390">
        <f>5</f>
        <v>5</v>
      </c>
      <c r="K349" s="390">
        <f>5</f>
        <v>5</v>
      </c>
      <c r="L349" s="390">
        <f>5</f>
        <v>5</v>
      </c>
      <c r="M349" s="390">
        <f>5</f>
        <v>5</v>
      </c>
      <c r="N349" s="339"/>
    </row>
    <row r="350" spans="1:15" outlineLevel="2" x14ac:dyDescent="0.15">
      <c r="A350" s="1214"/>
      <c r="B350" s="8" t="s">
        <v>551</v>
      </c>
      <c r="D350" s="379"/>
      <c r="F350" s="88"/>
      <c r="G350" s="390">
        <f>2</f>
        <v>2</v>
      </c>
      <c r="H350" s="390">
        <f>2</f>
        <v>2</v>
      </c>
      <c r="I350" s="390">
        <f>2</f>
        <v>2</v>
      </c>
      <c r="J350" s="390">
        <f>2</f>
        <v>2</v>
      </c>
      <c r="K350" s="390">
        <f>2</f>
        <v>2</v>
      </c>
      <c r="L350" s="390">
        <f>2</f>
        <v>2</v>
      </c>
      <c r="M350" s="390">
        <f>2</f>
        <v>2</v>
      </c>
      <c r="N350" s="339"/>
    </row>
    <row r="351" spans="1:15" outlineLevel="2" x14ac:dyDescent="0.15">
      <c r="A351" s="1214"/>
      <c r="B351" s="8" t="s">
        <v>552</v>
      </c>
      <c r="D351" s="379"/>
      <c r="G351" s="387">
        <f>6</f>
        <v>6</v>
      </c>
      <c r="H351" s="387">
        <f>6</f>
        <v>6</v>
      </c>
      <c r="I351" s="387">
        <f>6</f>
        <v>6</v>
      </c>
      <c r="J351" s="387">
        <f>6</f>
        <v>6</v>
      </c>
      <c r="K351" s="387">
        <f>6</f>
        <v>6</v>
      </c>
      <c r="L351" s="387">
        <f>6</f>
        <v>6</v>
      </c>
      <c r="M351" s="387">
        <f>6</f>
        <v>6</v>
      </c>
      <c r="N351" s="339"/>
    </row>
    <row r="352" spans="1:15" outlineLevel="2" x14ac:dyDescent="0.15">
      <c r="A352" s="1214"/>
      <c r="D352" s="379"/>
      <c r="F352" s="384"/>
      <c r="G352" s="335"/>
      <c r="H352" s="335"/>
      <c r="I352" s="335"/>
      <c r="J352" s="335"/>
      <c r="K352" s="335"/>
      <c r="L352" s="335"/>
      <c r="M352" s="335"/>
      <c r="N352" s="66"/>
    </row>
    <row r="353" spans="1:14" ht="14" outlineLevel="2" x14ac:dyDescent="0.15">
      <c r="A353" s="1214"/>
      <c r="B353" s="507" t="s">
        <v>553</v>
      </c>
      <c r="D353" s="379"/>
      <c r="G353" s="97"/>
      <c r="H353" s="97"/>
      <c r="I353" s="97"/>
      <c r="J353" s="97"/>
      <c r="K353" s="97"/>
      <c r="L353" s="97"/>
      <c r="M353" s="97"/>
      <c r="N353" s="339"/>
    </row>
    <row r="354" spans="1:14" outlineLevel="2" x14ac:dyDescent="0.15">
      <c r="A354" s="1214"/>
      <c r="B354" s="8" t="s">
        <v>198</v>
      </c>
      <c r="D354" s="379"/>
      <c r="G354" s="97">
        <f t="shared" ref="G354:M354" ca="1" si="140">G312+G351+G350</f>
        <v>309.12486836401968</v>
      </c>
      <c r="H354" s="97">
        <f t="shared" ca="1" si="140"/>
        <v>309.12486836401968</v>
      </c>
      <c r="I354" s="97">
        <f t="shared" ca="1" si="140"/>
        <v>309.12486836401968</v>
      </c>
      <c r="J354" s="97">
        <f t="shared" ca="1" si="140"/>
        <v>309.12486836401968</v>
      </c>
      <c r="K354" s="97">
        <f t="shared" ca="1" si="140"/>
        <v>309.12486836401968</v>
      </c>
      <c r="L354" s="97">
        <f t="shared" ca="1" si="140"/>
        <v>309.12486836401968</v>
      </c>
      <c r="M354" s="97">
        <f t="shared" ca="1" si="140"/>
        <v>309.12486836401968</v>
      </c>
      <c r="N354" s="339"/>
    </row>
    <row r="355" spans="1:14" outlineLevel="2" x14ac:dyDescent="0.15">
      <c r="A355" s="1214"/>
      <c r="B355" s="8" t="s">
        <v>199</v>
      </c>
      <c r="C355" s="88"/>
      <c r="D355" s="379"/>
      <c r="G355" s="335">
        <f t="shared" ref="G355:M355" ca="1" si="141">(G86+G341)*G25+2*G347</f>
        <v>411.28255837135885</v>
      </c>
      <c r="H355" s="335">
        <f t="shared" ca="1" si="141"/>
        <v>411.28255837135885</v>
      </c>
      <c r="I355" s="97">
        <f t="shared" ca="1" si="141"/>
        <v>411.28255837135885</v>
      </c>
      <c r="J355" s="97">
        <f t="shared" ca="1" si="141"/>
        <v>411.28255837135885</v>
      </c>
      <c r="K355" s="97">
        <f t="shared" ca="1" si="141"/>
        <v>411.28255837135885</v>
      </c>
      <c r="L355" s="97">
        <f t="shared" ca="1" si="141"/>
        <v>411.28255837135885</v>
      </c>
      <c r="M355" s="97">
        <f t="shared" ca="1" si="141"/>
        <v>411.28255837135885</v>
      </c>
      <c r="N355" s="339"/>
    </row>
    <row r="356" spans="1:14" outlineLevel="2" x14ac:dyDescent="0.15">
      <c r="A356" s="1214"/>
      <c r="B356" s="8" t="s">
        <v>554</v>
      </c>
      <c r="D356" s="379"/>
      <c r="G356" s="97">
        <f t="shared" ref="G356:M356" ca="1" si="142">G311+2*G341+2*G347</f>
        <v>81.000987119818873</v>
      </c>
      <c r="H356" s="97">
        <f t="shared" ca="1" si="142"/>
        <v>81.000987119818873</v>
      </c>
      <c r="I356" s="97">
        <f t="shared" ca="1" si="142"/>
        <v>81.000987119818873</v>
      </c>
      <c r="J356" s="97">
        <f t="shared" ca="1" si="142"/>
        <v>81.000987119818873</v>
      </c>
      <c r="K356" s="97">
        <f t="shared" ca="1" si="142"/>
        <v>81.000987119818873</v>
      </c>
      <c r="L356" s="97">
        <f t="shared" ca="1" si="142"/>
        <v>81.000987119818873</v>
      </c>
      <c r="M356" s="97">
        <f t="shared" ca="1" si="142"/>
        <v>81.000987119818873</v>
      </c>
      <c r="N356" s="339"/>
    </row>
    <row r="357" spans="1:14" outlineLevel="2" x14ac:dyDescent="0.15">
      <c r="A357" s="1214"/>
      <c r="B357" s="8" t="s">
        <v>201</v>
      </c>
      <c r="D357" s="379"/>
      <c r="G357" s="96">
        <f t="shared" ref="G357:M357" ca="1" si="143">G354*G355*G356/1000000</f>
        <v>10.298276504184589</v>
      </c>
      <c r="H357" s="96">
        <f t="shared" ca="1" si="143"/>
        <v>10.298276504184589</v>
      </c>
      <c r="I357" s="96">
        <f t="shared" ca="1" si="143"/>
        <v>10.298276504184589</v>
      </c>
      <c r="J357" s="96">
        <f t="shared" ca="1" si="143"/>
        <v>10.298276504184589</v>
      </c>
      <c r="K357" s="96">
        <f t="shared" ca="1" si="143"/>
        <v>10.298276504184589</v>
      </c>
      <c r="L357" s="96">
        <f t="shared" ca="1" si="143"/>
        <v>10.298276504184589</v>
      </c>
      <c r="M357" s="96">
        <f t="shared" ca="1" si="143"/>
        <v>10.298276504184589</v>
      </c>
      <c r="N357" s="48"/>
    </row>
    <row r="358" spans="1:14" outlineLevel="2" x14ac:dyDescent="0.15">
      <c r="A358" s="1214"/>
      <c r="B358" s="8" t="s">
        <v>203</v>
      </c>
      <c r="D358" s="379"/>
      <c r="G358" s="96">
        <f t="shared" ref="G358:M358" ca="1" si="144">(G322+G328+G25*G82+G332+G336+G345+G342+G349+G348)/1000</f>
        <v>20.818571541672252</v>
      </c>
      <c r="H358" s="96">
        <f t="shared" ca="1" si="144"/>
        <v>20.818571541672252</v>
      </c>
      <c r="I358" s="96">
        <f t="shared" ca="1" si="144"/>
        <v>20.818571541672252</v>
      </c>
      <c r="J358" s="96">
        <f t="shared" ca="1" si="144"/>
        <v>20.818571541672252</v>
      </c>
      <c r="K358" s="96">
        <f t="shared" ca="1" si="144"/>
        <v>20.818571541672252</v>
      </c>
      <c r="L358" s="96">
        <f t="shared" ca="1" si="144"/>
        <v>20.818571541672252</v>
      </c>
      <c r="M358" s="96">
        <f t="shared" ca="1" si="144"/>
        <v>20.818571541672252</v>
      </c>
      <c r="N358" s="66"/>
    </row>
    <row r="359" spans="1:14" outlineLevel="2" x14ac:dyDescent="0.15">
      <c r="A359" s="1214"/>
      <c r="D359" s="379"/>
      <c r="G359" s="96"/>
      <c r="H359" s="96"/>
      <c r="I359" s="96"/>
      <c r="J359" s="96"/>
      <c r="K359" s="96"/>
      <c r="L359" s="96"/>
      <c r="M359" s="96"/>
      <c r="N359" s="66"/>
    </row>
    <row r="360" spans="1:14" ht="16" outlineLevel="2" x14ac:dyDescent="0.2">
      <c r="A360" s="1214"/>
      <c r="B360" s="5" t="s">
        <v>555</v>
      </c>
      <c r="D360" s="379"/>
      <c r="G360" s="66"/>
      <c r="H360" s="66"/>
      <c r="I360" s="66"/>
      <c r="J360" s="66"/>
      <c r="K360" s="66"/>
      <c r="L360" s="66"/>
      <c r="M360" s="66"/>
      <c r="N360" s="66"/>
    </row>
    <row r="361" spans="1:14" outlineLevel="2" x14ac:dyDescent="0.15">
      <c r="A361" s="1214"/>
      <c r="B361" s="8" t="s">
        <v>556</v>
      </c>
      <c r="D361" s="379"/>
      <c r="G361" s="66">
        <f t="shared" ref="G361:M361" ca="1" si="145">G316*G30</f>
        <v>271.75885298475225</v>
      </c>
      <c r="H361" s="66">
        <f t="shared" ca="1" si="145"/>
        <v>271.75885298475225</v>
      </c>
      <c r="I361" s="66">
        <f t="shared" ca="1" si="145"/>
        <v>271.75885298475225</v>
      </c>
      <c r="J361" s="66">
        <f t="shared" ca="1" si="145"/>
        <v>271.75885298475225</v>
      </c>
      <c r="K361" s="66">
        <f t="shared" ca="1" si="145"/>
        <v>271.75885298475225</v>
      </c>
      <c r="L361" s="66">
        <f t="shared" ca="1" si="145"/>
        <v>271.75885298475225</v>
      </c>
      <c r="M361" s="66">
        <f t="shared" ca="1" si="145"/>
        <v>271.75885298475225</v>
      </c>
      <c r="N361" s="66"/>
    </row>
    <row r="362" spans="1:14" outlineLevel="2" x14ac:dyDescent="0.15">
      <c r="A362" s="1214"/>
      <c r="B362" s="8" t="s">
        <v>557</v>
      </c>
      <c r="D362" s="379"/>
      <c r="G362" s="10">
        <f t="shared" ref="G362:M362" ca="1" si="146">G36*G30*G365/1000</f>
        <v>100.00000000001774</v>
      </c>
      <c r="H362" s="15">
        <f t="shared" ca="1" si="146"/>
        <v>100.00000000001774</v>
      </c>
      <c r="I362" s="15">
        <f t="shared" ca="1" si="146"/>
        <v>100.00000000001774</v>
      </c>
      <c r="J362" s="15">
        <f t="shared" ca="1" si="146"/>
        <v>100.00000000001774</v>
      </c>
      <c r="K362" s="15">
        <f t="shared" ca="1" si="146"/>
        <v>100.00000000001774</v>
      </c>
      <c r="L362" s="15">
        <f t="shared" ca="1" si="146"/>
        <v>100.00000000001774</v>
      </c>
      <c r="M362" s="15">
        <f t="shared" ca="1" si="146"/>
        <v>100.00000000001774</v>
      </c>
      <c r="N362" s="66"/>
    </row>
    <row r="363" spans="1:14" outlineLevel="2" x14ac:dyDescent="0.15">
      <c r="A363" s="1214"/>
      <c r="B363" s="8" t="s">
        <v>558</v>
      </c>
      <c r="D363" s="379"/>
      <c r="G363" s="15">
        <f t="shared" ref="G363:M363" ca="1" si="147">G362*G473/100</f>
        <v>85.000000000015078</v>
      </c>
      <c r="H363" s="15">
        <f t="shared" ca="1" si="147"/>
        <v>85.000000000015078</v>
      </c>
      <c r="I363" s="15">
        <f t="shared" ca="1" si="147"/>
        <v>85.000000000015078</v>
      </c>
      <c r="J363" s="15">
        <f t="shared" ca="1" si="147"/>
        <v>85.000000000015078</v>
      </c>
      <c r="K363" s="15">
        <f t="shared" ca="1" si="147"/>
        <v>85.000000000015078</v>
      </c>
      <c r="L363" s="15">
        <f t="shared" ca="1" si="147"/>
        <v>85.000000000015078</v>
      </c>
      <c r="M363" s="15">
        <f t="shared" ca="1" si="147"/>
        <v>85.000000000015078</v>
      </c>
      <c r="N363" s="66"/>
    </row>
    <row r="364" spans="1:14" outlineLevel="2" x14ac:dyDescent="0.15">
      <c r="A364" s="1214"/>
      <c r="B364" s="8" t="s">
        <v>559</v>
      </c>
      <c r="D364" s="379"/>
      <c r="G364" s="66">
        <f t="shared" ref="G364:M364" ca="1" si="148">G31/G26*G140/G30</f>
        <v>360.3198147181825</v>
      </c>
      <c r="H364" s="66">
        <f t="shared" ca="1" si="148"/>
        <v>360.3198147181825</v>
      </c>
      <c r="I364" s="66">
        <f t="shared" ca="1" si="148"/>
        <v>360.3198147181825</v>
      </c>
      <c r="J364" s="66">
        <f t="shared" ca="1" si="148"/>
        <v>360.3198147181825</v>
      </c>
      <c r="K364" s="66">
        <f t="shared" ca="1" si="148"/>
        <v>360.3198147181825</v>
      </c>
      <c r="L364" s="66">
        <f t="shared" ca="1" si="148"/>
        <v>360.3198147181825</v>
      </c>
      <c r="M364" s="66">
        <f t="shared" ca="1" si="148"/>
        <v>360.3198147181825</v>
      </c>
      <c r="N364" s="66"/>
    </row>
    <row r="365" spans="1:14" outlineLevel="2" x14ac:dyDescent="0.15">
      <c r="A365" s="1214"/>
      <c r="B365" s="8" t="s">
        <v>560</v>
      </c>
      <c r="D365" s="379"/>
      <c r="G365" s="66">
        <f t="shared" ref="G365:M365" ca="1" si="149">G366-G31*G35/3*G239/G293/G26/G30</f>
        <v>367.97329287237079</v>
      </c>
      <c r="H365" s="66">
        <f t="shared" ca="1" si="149"/>
        <v>367.97329287237079</v>
      </c>
      <c r="I365" s="66">
        <f t="shared" ca="1" si="149"/>
        <v>367.97329287237079</v>
      </c>
      <c r="J365" s="66">
        <f t="shared" ca="1" si="149"/>
        <v>367.97329287237079</v>
      </c>
      <c r="K365" s="66">
        <f t="shared" ca="1" si="149"/>
        <v>367.97329287237079</v>
      </c>
      <c r="L365" s="66">
        <f t="shared" ca="1" si="149"/>
        <v>367.97329287237079</v>
      </c>
      <c r="M365" s="66">
        <f t="shared" ca="1" si="149"/>
        <v>367.97329287237079</v>
      </c>
      <c r="N365" s="66"/>
    </row>
    <row r="366" spans="1:14" outlineLevel="2" x14ac:dyDescent="0.15">
      <c r="A366" s="1214"/>
      <c r="B366" s="8" t="s">
        <v>166</v>
      </c>
      <c r="D366" s="379"/>
      <c r="G366" s="66">
        <f t="shared" ref="G366:M366" ca="1" si="150">G31/G26*G155/G30</f>
        <v>370.46640670027602</v>
      </c>
      <c r="H366" s="66">
        <f t="shared" ca="1" si="150"/>
        <v>370.46640670027602</v>
      </c>
      <c r="I366" s="66">
        <f t="shared" ca="1" si="150"/>
        <v>370.46640670027602</v>
      </c>
      <c r="J366" s="66">
        <f t="shared" ca="1" si="150"/>
        <v>370.46640670027602</v>
      </c>
      <c r="K366" s="66">
        <f t="shared" ca="1" si="150"/>
        <v>370.46640670027602</v>
      </c>
      <c r="L366" s="66">
        <f t="shared" ca="1" si="150"/>
        <v>370.46640670027602</v>
      </c>
      <c r="M366" s="66">
        <f t="shared" ca="1" si="150"/>
        <v>370.46640670027602</v>
      </c>
      <c r="N366" s="66"/>
    </row>
    <row r="367" spans="1:14" outlineLevel="2" x14ac:dyDescent="0.15">
      <c r="A367" s="1214"/>
      <c r="B367" s="8" t="s">
        <v>561</v>
      </c>
      <c r="D367" s="379"/>
      <c r="G367" s="66">
        <f t="shared" ref="G367:M367" ca="1" si="151">(G364^2*G30^2*G26^2/G31*G117/100*(100-G117)/100)/(G238/G293)/1000</f>
        <v>843.4174542613448</v>
      </c>
      <c r="H367" s="66">
        <f t="shared" ca="1" si="151"/>
        <v>843.4174542613448</v>
      </c>
      <c r="I367" s="66">
        <f t="shared" ca="1" si="151"/>
        <v>843.4174542613448</v>
      </c>
      <c r="J367" s="66">
        <f t="shared" ca="1" si="151"/>
        <v>843.4174542613448</v>
      </c>
      <c r="K367" s="66">
        <f t="shared" ca="1" si="151"/>
        <v>843.4174542613448</v>
      </c>
      <c r="L367" s="66">
        <f t="shared" ca="1" si="151"/>
        <v>843.4174542613448</v>
      </c>
      <c r="M367" s="66">
        <f t="shared" ca="1" si="151"/>
        <v>843.4174542613448</v>
      </c>
      <c r="N367" s="66"/>
    </row>
    <row r="368" spans="1:14" outlineLevel="2" x14ac:dyDescent="0.15">
      <c r="A368" s="1214"/>
      <c r="B368" s="8" t="s">
        <v>562</v>
      </c>
      <c r="D368" s="379"/>
      <c r="G368" s="66">
        <f t="shared" ref="G368:M368" ca="1" si="152">(G364^2*G30^2*G26^2/G31*G118/100*(100-G118)/100)/(G238/G293)/1000</f>
        <v>299.99999999992571</v>
      </c>
      <c r="H368" s="66">
        <f t="shared" ca="1" si="152"/>
        <v>299.99999999992571</v>
      </c>
      <c r="I368" s="66">
        <f t="shared" ca="1" si="152"/>
        <v>299.99999999992571</v>
      </c>
      <c r="J368" s="66">
        <f t="shared" ca="1" si="152"/>
        <v>299.99999999992571</v>
      </c>
      <c r="K368" s="66">
        <f t="shared" ca="1" si="152"/>
        <v>299.99999999992571</v>
      </c>
      <c r="L368" s="66">
        <f t="shared" ca="1" si="152"/>
        <v>299.99999999992571</v>
      </c>
      <c r="M368" s="66">
        <f t="shared" ca="1" si="152"/>
        <v>299.99999999992571</v>
      </c>
      <c r="N368" s="66"/>
    </row>
    <row r="369" spans="1:14" outlineLevel="2" x14ac:dyDescent="0.15">
      <c r="A369" s="1214"/>
      <c r="B369" s="8" t="s">
        <v>563</v>
      </c>
      <c r="D369" s="379"/>
      <c r="G369" s="66">
        <f t="shared" ref="G369:M369" ca="1" si="153">G22*1000/G364</f>
        <v>832.59367857590473</v>
      </c>
      <c r="H369" s="66">
        <f t="shared" ca="1" si="153"/>
        <v>832.59367857590473</v>
      </c>
      <c r="I369" s="66">
        <f t="shared" ca="1" si="153"/>
        <v>832.59367857590473</v>
      </c>
      <c r="J369" s="66">
        <f t="shared" ca="1" si="153"/>
        <v>832.59367857590473</v>
      </c>
      <c r="K369" s="66">
        <f t="shared" ca="1" si="153"/>
        <v>832.59367857590473</v>
      </c>
      <c r="L369" s="66">
        <f t="shared" ca="1" si="153"/>
        <v>832.59367857590473</v>
      </c>
      <c r="M369" s="66">
        <f t="shared" ca="1" si="153"/>
        <v>832.59367857590473</v>
      </c>
      <c r="N369" s="66"/>
    </row>
    <row r="370" spans="1:14" outlineLevel="2" x14ac:dyDescent="0.15">
      <c r="A370" s="1214"/>
      <c r="B370" s="8" t="s">
        <v>564</v>
      </c>
      <c r="D370" s="379"/>
      <c r="G370" s="15">
        <f ca="1">IF(Dashboard!$D6=0,20,G369*1000/G293/G26/G30)</f>
        <v>17.856594622753381</v>
      </c>
      <c r="H370" s="15">
        <f ca="1">IF(Dashboard!$D6=0,20,H369*1000/H293/H26/H30)</f>
        <v>17.856594622753381</v>
      </c>
      <c r="I370" s="15">
        <f ca="1">IF(Dashboard!$D6=0,20,I369*1000/I293/I26/I30)</f>
        <v>17.856594622753381</v>
      </c>
      <c r="J370" s="15">
        <f ca="1">IF(Dashboard!$D6=0,20,J369*1000/J293/J26/J30)</f>
        <v>17.856594622753381</v>
      </c>
      <c r="K370" s="15">
        <f ca="1">IF(Dashboard!$D6=0,20,K369*1000/K293/K26/K30)</f>
        <v>17.856594622753381</v>
      </c>
      <c r="L370" s="15">
        <f ca="1">IF(Dashboard!$D6=0,20,L369*1000/L293/L26/L30)</f>
        <v>17.856594622753381</v>
      </c>
      <c r="M370" s="15">
        <f ca="1">IF(Dashboard!$D6=0,20,M369*1000/M293/M26/M30)</f>
        <v>17.856594622753381</v>
      </c>
      <c r="N370" s="66"/>
    </row>
    <row r="371" spans="1:14" outlineLevel="2" x14ac:dyDescent="0.15">
      <c r="A371" s="1214"/>
      <c r="B371" s="8" t="s">
        <v>565</v>
      </c>
      <c r="D371" s="379"/>
      <c r="G371" s="66">
        <f ca="1">IF(Dashboard!$D6=0,5,G369/G36/G30)</f>
        <v>3.0637223753024143</v>
      </c>
      <c r="H371" s="66">
        <f ca="1">IF(Dashboard!$D6=0,5,H369/H36/H30)</f>
        <v>3.0637223753024143</v>
      </c>
      <c r="I371" s="66">
        <f ca="1">IF(Dashboard!$D6=0,5,I369/I36/I30)</f>
        <v>3.0637223753024143</v>
      </c>
      <c r="J371" s="66">
        <f ca="1">IF(Dashboard!$D6=0,5,J369/J36/J30)</f>
        <v>3.0637223753024143</v>
      </c>
      <c r="K371" s="66">
        <f ca="1">IF(Dashboard!$D6=0,5,K369/K36/K30)</f>
        <v>3.0637223753024143</v>
      </c>
      <c r="L371" s="66">
        <f ca="1">IF(Dashboard!$D6=0,5,L369/L36/L30)</f>
        <v>3.0637223753024143</v>
      </c>
      <c r="M371" s="66">
        <f ca="1">IF(Dashboard!$D6=0,5,M369/M36/M30)</f>
        <v>3.0637223753024143</v>
      </c>
      <c r="N371" s="66"/>
    </row>
    <row r="372" spans="1:14" outlineLevel="2" x14ac:dyDescent="0.15">
      <c r="A372" s="1214"/>
      <c r="D372" s="379"/>
      <c r="G372" s="66"/>
      <c r="H372" s="66"/>
      <c r="I372" s="66"/>
      <c r="J372" s="66"/>
      <c r="K372" s="66"/>
      <c r="L372" s="66"/>
      <c r="M372" s="66"/>
      <c r="N372" s="66"/>
    </row>
    <row r="373" spans="1:14" ht="14" outlineLevel="2" x14ac:dyDescent="0.15">
      <c r="A373" s="1214"/>
      <c r="B373" s="507" t="s">
        <v>566</v>
      </c>
      <c r="D373" s="379"/>
      <c r="G373" s="66"/>
      <c r="H373" s="66"/>
      <c r="I373" s="66"/>
      <c r="J373" s="66"/>
      <c r="K373" s="66"/>
      <c r="L373" s="66"/>
      <c r="M373" s="66"/>
      <c r="N373" s="1123"/>
    </row>
    <row r="374" spans="1:14" outlineLevel="2" x14ac:dyDescent="0.15">
      <c r="A374" s="1214"/>
      <c r="B374" s="8" t="s">
        <v>567</v>
      </c>
      <c r="D374" s="379"/>
      <c r="G374" s="66" t="str">
        <f xml:space="preserve"> Lists!$AR$99</f>
        <v>Steel</v>
      </c>
      <c r="H374" s="66" t="str">
        <f xml:space="preserve"> Lists!$AR$99</f>
        <v>Steel</v>
      </c>
      <c r="I374" s="66" t="str">
        <f xml:space="preserve"> Lists!$AR$99</f>
        <v>Steel</v>
      </c>
      <c r="J374" s="66" t="str">
        <f xml:space="preserve"> Lists!$AR$99</f>
        <v>Steel</v>
      </c>
      <c r="K374" s="66" t="str">
        <f xml:space="preserve"> Lists!$AR$99</f>
        <v>Steel</v>
      </c>
      <c r="L374" s="66" t="str">
        <f xml:space="preserve"> Lists!$AR$99</f>
        <v>Steel</v>
      </c>
      <c r="M374" s="66" t="str">
        <f xml:space="preserve"> Lists!$AR$99</f>
        <v>Steel</v>
      </c>
      <c r="N374" s="1123"/>
    </row>
    <row r="375" spans="1:14" outlineLevel="2" x14ac:dyDescent="0.15">
      <c r="A375" s="1214"/>
      <c r="B375" s="8" t="s">
        <v>568</v>
      </c>
      <c r="D375" s="379"/>
      <c r="G375" s="66">
        <f t="shared" ref="G375:M375" ca="1" si="154">G355*G27+G389*(G27-1)+G390+G392</f>
        <v>2128.2127918567944</v>
      </c>
      <c r="H375" s="66">
        <f t="shared" ca="1" si="154"/>
        <v>2128.2127918567944</v>
      </c>
      <c r="I375" s="66">
        <f t="shared" ca="1" si="154"/>
        <v>2128.2127918567944</v>
      </c>
      <c r="J375" s="66">
        <f t="shared" ca="1" si="154"/>
        <v>2128.2127918567944</v>
      </c>
      <c r="K375" s="66">
        <f t="shared" ca="1" si="154"/>
        <v>2128.2127918567944</v>
      </c>
      <c r="L375" s="66">
        <f t="shared" ca="1" si="154"/>
        <v>2128.2127918567944</v>
      </c>
      <c r="M375" s="66">
        <f t="shared" ca="1" si="154"/>
        <v>2128.2127918567944</v>
      </c>
      <c r="N375" s="823"/>
    </row>
    <row r="376" spans="1:14" outlineLevel="2" x14ac:dyDescent="0.15">
      <c r="A376" s="1214"/>
      <c r="B376" s="8" t="s">
        <v>532</v>
      </c>
      <c r="D376" s="379"/>
      <c r="G376" s="66">
        <f t="shared" ref="G376:M376" ca="1" si="155">G354+5</f>
        <v>314.12486836401968</v>
      </c>
      <c r="H376" s="66">
        <f t="shared" ca="1" si="155"/>
        <v>314.12486836401968</v>
      </c>
      <c r="I376" s="66">
        <f t="shared" ca="1" si="155"/>
        <v>314.12486836401968</v>
      </c>
      <c r="J376" s="66">
        <f t="shared" ca="1" si="155"/>
        <v>314.12486836401968</v>
      </c>
      <c r="K376" s="66">
        <f t="shared" ca="1" si="155"/>
        <v>314.12486836401968</v>
      </c>
      <c r="L376" s="66">
        <f t="shared" ca="1" si="155"/>
        <v>314.12486836401968</v>
      </c>
      <c r="M376" s="66">
        <f t="shared" ca="1" si="155"/>
        <v>314.12486836401968</v>
      </c>
      <c r="N376" s="66"/>
    </row>
    <row r="377" spans="1:14" outlineLevel="2" x14ac:dyDescent="0.15">
      <c r="A377" s="1214"/>
      <c r="B377" s="8" t="s">
        <v>569</v>
      </c>
      <c r="D377" s="379"/>
      <c r="G377" s="15">
        <f t="shared" ref="G377:M377" ca="1" si="156">G356+2*G401+G378+G381</f>
        <v>94.200987119818876</v>
      </c>
      <c r="H377" s="15">
        <f t="shared" ca="1" si="156"/>
        <v>94.200987119818876</v>
      </c>
      <c r="I377" s="15">
        <f t="shared" ca="1" si="156"/>
        <v>94.200987119818876</v>
      </c>
      <c r="J377" s="15">
        <f t="shared" ca="1" si="156"/>
        <v>94.200987119818876</v>
      </c>
      <c r="K377" s="15">
        <f t="shared" ca="1" si="156"/>
        <v>94.200987119818876</v>
      </c>
      <c r="L377" s="15">
        <f t="shared" ca="1" si="156"/>
        <v>94.200987119818876</v>
      </c>
      <c r="M377" s="15">
        <f t="shared" ca="1" si="156"/>
        <v>94.200987119818876</v>
      </c>
      <c r="N377" s="66"/>
    </row>
    <row r="378" spans="1:14" outlineLevel="2" x14ac:dyDescent="0.15">
      <c r="A378" s="1214"/>
      <c r="B378" s="8" t="s">
        <v>570</v>
      </c>
      <c r="D378" s="379"/>
      <c r="G378" s="148">
        <v>1</v>
      </c>
      <c r="H378" s="148">
        <v>1</v>
      </c>
      <c r="I378" s="148">
        <v>1</v>
      </c>
      <c r="J378" s="148">
        <v>1</v>
      </c>
      <c r="K378" s="148">
        <v>1</v>
      </c>
      <c r="L378" s="148">
        <v>1</v>
      </c>
      <c r="M378" s="148">
        <v>1</v>
      </c>
      <c r="N378" s="66"/>
    </row>
    <row r="379" spans="1:14" outlineLevel="2" x14ac:dyDescent="0.15">
      <c r="A379" s="1214"/>
      <c r="B379" s="8" t="s">
        <v>571</v>
      </c>
      <c r="D379" s="379"/>
      <c r="G379" s="333">
        <v>10</v>
      </c>
      <c r="H379" s="333">
        <v>10</v>
      </c>
      <c r="I379" s="333">
        <v>10</v>
      </c>
      <c r="J379" s="333">
        <v>10</v>
      </c>
      <c r="K379" s="333">
        <v>10</v>
      </c>
      <c r="L379" s="333">
        <v>10</v>
      </c>
      <c r="M379" s="333">
        <v>10</v>
      </c>
      <c r="N379" s="66"/>
    </row>
    <row r="380" spans="1:14" outlineLevel="2" x14ac:dyDescent="0.15">
      <c r="A380" s="1214"/>
      <c r="B380" s="8" t="s">
        <v>572</v>
      </c>
      <c r="D380" s="379"/>
      <c r="G380" s="66">
        <f ca="1">G375*(G376+2*(G379-G378))*G378/1000*Lists!$AS$99/1000</f>
        <v>5.5132926680992727</v>
      </c>
      <c r="H380" s="66">
        <f ca="1">H375*(H376+2*(H379-H378))*H378/1000*Lists!$AS$99/1000</f>
        <v>5.5132926680992727</v>
      </c>
      <c r="I380" s="66">
        <f ca="1">I375*(I376+2*(I379-I378))*I378/1000*Lists!$AS$99/1000</f>
        <v>5.5132926680992727</v>
      </c>
      <c r="J380" s="66">
        <f ca="1">J375*(J376+2*(J379-J378))*J378/1000*Lists!$AS$99/1000</f>
        <v>5.5132926680992727</v>
      </c>
      <c r="K380" s="66">
        <f ca="1">K375*(K376+2*(K379-K378))*K378/1000*Lists!$AS$99/1000</f>
        <v>5.5132926680992727</v>
      </c>
      <c r="L380" s="66">
        <f ca="1">L375*(L376+2*(L379-L378))*L378/1000*Lists!$AS$99/1000</f>
        <v>5.5132926680992727</v>
      </c>
      <c r="M380" s="66">
        <f ca="1">M375*(M376+2*(M379-M378))*M378/1000*Lists!$AS$99/1000</f>
        <v>5.5132926680992727</v>
      </c>
      <c r="N380" s="66"/>
    </row>
    <row r="381" spans="1:14" outlineLevel="2" x14ac:dyDescent="0.15">
      <c r="A381" s="1214"/>
      <c r="B381" s="8" t="s">
        <v>573</v>
      </c>
      <c r="D381" s="379"/>
      <c r="G381" s="148">
        <f>1</f>
        <v>1</v>
      </c>
      <c r="H381" s="148">
        <f>1</f>
        <v>1</v>
      </c>
      <c r="I381" s="148">
        <f>1</f>
        <v>1</v>
      </c>
      <c r="J381" s="148">
        <f>1</f>
        <v>1</v>
      </c>
      <c r="K381" s="148">
        <f>1</f>
        <v>1</v>
      </c>
      <c r="L381" s="148">
        <f>1</f>
        <v>1</v>
      </c>
      <c r="M381" s="148">
        <f>1</f>
        <v>1</v>
      </c>
      <c r="N381" s="97"/>
    </row>
    <row r="382" spans="1:14" outlineLevel="2" x14ac:dyDescent="0.15">
      <c r="A382" s="1214"/>
      <c r="B382" s="8" t="s">
        <v>574</v>
      </c>
      <c r="D382" s="379"/>
      <c r="G382" s="11">
        <f t="shared" ref="G382:M382" ca="1" si="157">IF(G27=1,4*(G377-6),(G27*2+2)*(G377-6)+4*(G377-6)*2^0.5)</f>
        <v>1557.3519742359967</v>
      </c>
      <c r="H382" s="11">
        <f t="shared" ca="1" si="157"/>
        <v>1557.3519742359967</v>
      </c>
      <c r="I382" s="11">
        <f t="shared" ca="1" si="157"/>
        <v>1557.3519742359967</v>
      </c>
      <c r="J382" s="11">
        <f t="shared" ca="1" si="157"/>
        <v>1557.3519742359967</v>
      </c>
      <c r="K382" s="11">
        <f t="shared" ca="1" si="157"/>
        <v>1557.3519742359967</v>
      </c>
      <c r="L382" s="11">
        <f t="shared" ca="1" si="157"/>
        <v>1557.3519742359967</v>
      </c>
      <c r="M382" s="11">
        <f t="shared" ca="1" si="157"/>
        <v>1557.3519742359967</v>
      </c>
      <c r="N382" s="97"/>
    </row>
    <row r="383" spans="1:14" ht="14" outlineLevel="2" x14ac:dyDescent="0.2">
      <c r="A383" s="1214"/>
      <c r="B383" s="8" t="s">
        <v>575</v>
      </c>
      <c r="D383" s="379"/>
      <c r="G383" s="333">
        <v>15</v>
      </c>
      <c r="H383" s="333">
        <f>15</f>
        <v>15</v>
      </c>
      <c r="I383" s="333">
        <f>15</f>
        <v>15</v>
      </c>
      <c r="J383" s="333">
        <f>15</f>
        <v>15</v>
      </c>
      <c r="K383" s="333">
        <f>15</f>
        <v>15</v>
      </c>
      <c r="L383" s="333">
        <f>15</f>
        <v>15</v>
      </c>
      <c r="M383" s="333">
        <f>15</f>
        <v>15</v>
      </c>
      <c r="N383" s="97"/>
    </row>
    <row r="384" spans="1:14" outlineLevel="2" x14ac:dyDescent="0.15">
      <c r="A384" s="1214"/>
      <c r="B384" s="8" t="s">
        <v>576</v>
      </c>
      <c r="D384" s="379"/>
      <c r="G384" s="66">
        <f ca="1">(G375*(G376-2*G381)*G381+G382*G383)/1000*Lists!$AS$99/1000</f>
        <v>5.3635016535552253</v>
      </c>
      <c r="H384" s="66">
        <f ca="1">(H375*(H376-2*H381)*H381+H382*H383)/1000*Lists!$AS$99/1000</f>
        <v>5.3635016535552253</v>
      </c>
      <c r="I384" s="66">
        <f ca="1">(I375*(I376-2*I381)*I381+I382*I383)/1000*Lists!$AS$99/1000</f>
        <v>5.3635016535552253</v>
      </c>
      <c r="J384" s="66">
        <f ca="1">(J375*(J376-2*J381)*J381+J382*J383)/1000*Lists!$AS$99/1000</f>
        <v>5.3635016535552253</v>
      </c>
      <c r="K384" s="66">
        <f ca="1">(K375*(K376-2*K381)*K381+K382*K383)/1000*Lists!$AS$99/1000</f>
        <v>5.3635016535552253</v>
      </c>
      <c r="L384" s="66">
        <f ca="1">(L375*(L376-2*L381)*L381+L382*L383)/1000*Lists!$AS$99/1000</f>
        <v>5.3635016535552253</v>
      </c>
      <c r="M384" s="66">
        <f ca="1">(M375*(M376-2*M381)*M381+M382*M383)/1000*Lists!$AS$99/1000</f>
        <v>5.3635016535552253</v>
      </c>
      <c r="N384" s="97"/>
    </row>
    <row r="385" spans="1:15" outlineLevel="2" x14ac:dyDescent="0.15">
      <c r="A385" s="1214"/>
      <c r="B385" s="8" t="s">
        <v>577</v>
      </c>
      <c r="D385" s="379"/>
      <c r="G385" s="148">
        <f>2</f>
        <v>2</v>
      </c>
      <c r="H385" s="148">
        <f>2</f>
        <v>2</v>
      </c>
      <c r="I385" s="148">
        <f>2</f>
        <v>2</v>
      </c>
      <c r="J385" s="148">
        <f>2</f>
        <v>2</v>
      </c>
      <c r="K385" s="148">
        <f>2</f>
        <v>2</v>
      </c>
      <c r="L385" s="148">
        <f>2</f>
        <v>2</v>
      </c>
      <c r="M385" s="148">
        <f>2</f>
        <v>2</v>
      </c>
      <c r="N385" s="97"/>
    </row>
    <row r="386" spans="1:15" ht="14" outlineLevel="2" x14ac:dyDescent="0.2">
      <c r="A386" s="1214"/>
      <c r="B386" s="8" t="s">
        <v>578</v>
      </c>
      <c r="D386" s="379"/>
      <c r="G386" s="66">
        <f t="shared" ref="G386:M386" ca="1" si="158">((G398+4)*(G356-4)+2*(G354-G398-16)*(G377+30))/100</f>
        <v>332.18142567401111</v>
      </c>
      <c r="H386" s="66">
        <f t="shared" ca="1" si="158"/>
        <v>332.18142567401111</v>
      </c>
      <c r="I386" s="66">
        <f t="shared" ca="1" si="158"/>
        <v>332.18142567401111</v>
      </c>
      <c r="J386" s="66">
        <f t="shared" ca="1" si="158"/>
        <v>332.18142567401111</v>
      </c>
      <c r="K386" s="66">
        <f t="shared" ca="1" si="158"/>
        <v>332.18142567401111</v>
      </c>
      <c r="L386" s="66">
        <f t="shared" ca="1" si="158"/>
        <v>332.18142567401111</v>
      </c>
      <c r="M386" s="66">
        <f t="shared" ca="1" si="158"/>
        <v>332.18142567401111</v>
      </c>
      <c r="N386" s="97"/>
    </row>
    <row r="387" spans="1:15" ht="14" outlineLevel="2" x14ac:dyDescent="0.2">
      <c r="A387" s="1214"/>
      <c r="B387" s="8" t="s">
        <v>579</v>
      </c>
      <c r="D387" s="379"/>
      <c r="G387" s="66">
        <f t="shared" ref="G387:M387" ca="1" si="159">(G356-2)*(G304+4)*1.5/1000+6*0.2</f>
        <v>28.550492666361734</v>
      </c>
      <c r="H387" s="66">
        <f t="shared" ca="1" si="159"/>
        <v>28.550492666361734</v>
      </c>
      <c r="I387" s="66">
        <f t="shared" ca="1" si="159"/>
        <v>28.550492666361734</v>
      </c>
      <c r="J387" s="66">
        <f t="shared" ca="1" si="159"/>
        <v>28.550492666361734</v>
      </c>
      <c r="K387" s="66">
        <f t="shared" ca="1" si="159"/>
        <v>28.550492666361734</v>
      </c>
      <c r="L387" s="66">
        <f t="shared" ca="1" si="159"/>
        <v>28.550492666361734</v>
      </c>
      <c r="M387" s="66">
        <f t="shared" ca="1" si="159"/>
        <v>28.550492666361734</v>
      </c>
      <c r="N387" s="97"/>
    </row>
    <row r="388" spans="1:15" outlineLevel="2" x14ac:dyDescent="0.15">
      <c r="A388" s="1214"/>
      <c r="B388" s="8" t="s">
        <v>580</v>
      </c>
      <c r="D388" s="379"/>
      <c r="G388" s="66">
        <f ca="1">2*(G385/10*G386+G387)*Lists!$AS$99/1000</f>
        <v>1.4817937336981577</v>
      </c>
      <c r="H388" s="66">
        <f ca="1">2*(H385/10*H386+H387)*Lists!$AS$99/1000</f>
        <v>1.4817937336981577</v>
      </c>
      <c r="I388" s="66">
        <f ca="1">2*(I385/10*I386+I387)*Lists!$AS$99/1000</f>
        <v>1.4817937336981577</v>
      </c>
      <c r="J388" s="66">
        <f ca="1">2*(J385/10*J386+J387)*Lists!$AS$99/1000</f>
        <v>1.4817937336981577</v>
      </c>
      <c r="K388" s="66">
        <f ca="1">2*(K385/10*K386+K387)*Lists!$AS$99/1000</f>
        <v>1.4817937336981577</v>
      </c>
      <c r="L388" s="66">
        <f ca="1">2*(L385/10*L386+L387)*Lists!$AS$99/1000</f>
        <v>1.4817937336981577</v>
      </c>
      <c r="M388" s="66">
        <f ca="1">2*(M385/10*M386+M387)*Lists!$AS$99/1000</f>
        <v>1.4817937336981577</v>
      </c>
      <c r="N388" s="97"/>
    </row>
    <row r="389" spans="1:15" outlineLevel="2" x14ac:dyDescent="0.15">
      <c r="A389" s="1214"/>
      <c r="B389" s="8" t="s">
        <v>581</v>
      </c>
      <c r="D389" s="379"/>
      <c r="G389" s="148">
        <f>2</f>
        <v>2</v>
      </c>
      <c r="H389" s="148">
        <f>2</f>
        <v>2</v>
      </c>
      <c r="I389" s="148">
        <f>2</f>
        <v>2</v>
      </c>
      <c r="J389" s="148">
        <f>2</f>
        <v>2</v>
      </c>
      <c r="K389" s="148">
        <f>2</f>
        <v>2</v>
      </c>
      <c r="L389" s="148">
        <f>2</f>
        <v>2</v>
      </c>
      <c r="M389" s="148">
        <f>2</f>
        <v>2</v>
      </c>
      <c r="N389" s="97"/>
    </row>
    <row r="390" spans="1:15" outlineLevel="2" x14ac:dyDescent="0.15">
      <c r="A390" s="1214"/>
      <c r="B390" s="8" t="s">
        <v>582</v>
      </c>
      <c r="D390" s="379"/>
      <c r="G390" s="148">
        <f>15</f>
        <v>15</v>
      </c>
      <c r="H390" s="148">
        <f>15</f>
        <v>15</v>
      </c>
      <c r="I390" s="148">
        <f>15</f>
        <v>15</v>
      </c>
      <c r="J390" s="148">
        <f>15</f>
        <v>15</v>
      </c>
      <c r="K390" s="148">
        <f>15</f>
        <v>15</v>
      </c>
      <c r="L390" s="148">
        <f>15</f>
        <v>15</v>
      </c>
      <c r="M390" s="148">
        <f>15</f>
        <v>15</v>
      </c>
      <c r="N390" s="97"/>
    </row>
    <row r="391" spans="1:15" outlineLevel="2" x14ac:dyDescent="0.15">
      <c r="A391" s="1214"/>
      <c r="B391" s="8" t="s">
        <v>583</v>
      </c>
      <c r="D391" s="379"/>
      <c r="G391" s="148">
        <f>10</f>
        <v>10</v>
      </c>
      <c r="H391" s="148">
        <f>10</f>
        <v>10</v>
      </c>
      <c r="I391" s="148">
        <f>10</f>
        <v>10</v>
      </c>
      <c r="J391" s="148">
        <f>10</f>
        <v>10</v>
      </c>
      <c r="K391" s="148">
        <f>10</f>
        <v>10</v>
      </c>
      <c r="L391" s="148">
        <f>10</f>
        <v>10</v>
      </c>
      <c r="M391" s="148">
        <f>10</f>
        <v>10</v>
      </c>
      <c r="N391" s="97"/>
    </row>
    <row r="392" spans="1:15" outlineLevel="2" x14ac:dyDescent="0.15">
      <c r="A392" s="1214"/>
      <c r="B392" s="8" t="s">
        <v>584</v>
      </c>
      <c r="D392" s="379"/>
      <c r="G392" s="15">
        <f>G391+G404+G405+2*0.5+2*0.4</f>
        <v>48.8</v>
      </c>
      <c r="H392" s="15">
        <f t="shared" ref="H392:M392" si="160">H391+H404+H405+2*0.5+2*0.4</f>
        <v>48.8</v>
      </c>
      <c r="I392" s="66">
        <f t="shared" si="160"/>
        <v>48.8</v>
      </c>
      <c r="J392" s="66">
        <f t="shared" si="160"/>
        <v>48.8</v>
      </c>
      <c r="K392" s="66">
        <f t="shared" si="160"/>
        <v>48.8</v>
      </c>
      <c r="L392" s="66">
        <f t="shared" si="160"/>
        <v>48.8</v>
      </c>
      <c r="M392" s="66">
        <f t="shared" si="160"/>
        <v>48.8</v>
      </c>
      <c r="N392" s="823"/>
    </row>
    <row r="393" spans="1:15" outlineLevel="2" x14ac:dyDescent="0.15">
      <c r="A393" s="1214"/>
      <c r="B393" s="8" t="s">
        <v>585</v>
      </c>
      <c r="D393" s="379"/>
      <c r="G393" s="15">
        <f t="shared" ref="G393:M393" ca="1" si="161">(G27-1)*(G304+4)*(G356-2)*G389/1000*0.3/1000</f>
        <v>4.3760788266178768E-2</v>
      </c>
      <c r="H393" s="15">
        <f t="shared" ca="1" si="161"/>
        <v>4.3760788266178768E-2</v>
      </c>
      <c r="I393" s="15">
        <f t="shared" ca="1" si="161"/>
        <v>4.3760788266178768E-2</v>
      </c>
      <c r="J393" s="15">
        <f t="shared" ca="1" si="161"/>
        <v>4.3760788266178768E-2</v>
      </c>
      <c r="K393" s="15">
        <f t="shared" ca="1" si="161"/>
        <v>4.3760788266178768E-2</v>
      </c>
      <c r="L393" s="15">
        <f t="shared" ca="1" si="161"/>
        <v>4.3760788266178768E-2</v>
      </c>
      <c r="M393" s="15">
        <f t="shared" ca="1" si="161"/>
        <v>4.3760788266178768E-2</v>
      </c>
      <c r="N393" s="97"/>
    </row>
    <row r="394" spans="1:15" outlineLevel="2" x14ac:dyDescent="0.15">
      <c r="A394" s="1214"/>
      <c r="B394" s="8" t="s">
        <v>586</v>
      </c>
      <c r="D394" s="379"/>
      <c r="G394" s="66">
        <f t="shared" ref="G394:M394" ca="1" si="162">G380+G384+G388+G393</f>
        <v>12.402348843618833</v>
      </c>
      <c r="H394" s="66">
        <f t="shared" ca="1" si="162"/>
        <v>12.402348843618833</v>
      </c>
      <c r="I394" s="66">
        <f t="shared" ca="1" si="162"/>
        <v>12.402348843618833</v>
      </c>
      <c r="J394" s="66">
        <f t="shared" ca="1" si="162"/>
        <v>12.402348843618833</v>
      </c>
      <c r="K394" s="66">
        <f t="shared" ca="1" si="162"/>
        <v>12.402348843618833</v>
      </c>
      <c r="L394" s="66">
        <f t="shared" ca="1" si="162"/>
        <v>12.402348843618833</v>
      </c>
      <c r="M394" s="66">
        <f t="shared" ca="1" si="162"/>
        <v>12.402348843618833</v>
      </c>
      <c r="N394" s="97"/>
    </row>
    <row r="395" spans="1:15" outlineLevel="2" x14ac:dyDescent="0.15">
      <c r="A395" s="1214"/>
      <c r="D395" s="379"/>
      <c r="G395" s="66"/>
      <c r="H395" s="66"/>
      <c r="I395" s="66"/>
      <c r="J395" s="66"/>
      <c r="K395" s="66"/>
      <c r="L395" s="66"/>
      <c r="M395" s="66"/>
      <c r="N395" s="97"/>
    </row>
    <row r="396" spans="1:15" ht="14" outlineLevel="2" x14ac:dyDescent="0.15">
      <c r="A396" s="1214"/>
      <c r="B396" s="507" t="s">
        <v>587</v>
      </c>
      <c r="D396" s="379"/>
      <c r="G396" s="66"/>
      <c r="H396" s="66"/>
      <c r="I396" s="66"/>
      <c r="J396" s="66"/>
      <c r="K396" s="66"/>
      <c r="L396" s="66"/>
      <c r="M396" s="66"/>
      <c r="N396" s="97"/>
    </row>
    <row r="397" spans="1:15" outlineLevel="2" x14ac:dyDescent="0.15">
      <c r="A397" s="1214"/>
      <c r="B397" s="8" t="s">
        <v>588</v>
      </c>
      <c r="D397" s="379"/>
      <c r="G397" s="66" t="str">
        <f>Lists!$AR$103</f>
        <v>Stainless Steel</v>
      </c>
      <c r="H397" s="66" t="str">
        <f>Lists!$AR$103</f>
        <v>Stainless Steel</v>
      </c>
      <c r="I397" s="66" t="str">
        <f>Lists!$AR$103</f>
        <v>Stainless Steel</v>
      </c>
      <c r="J397" s="66" t="str">
        <f>Lists!$AR$103</f>
        <v>Stainless Steel</v>
      </c>
      <c r="K397" s="66" t="str">
        <f>Lists!$AR$103</f>
        <v>Stainless Steel</v>
      </c>
      <c r="L397" s="66" t="str">
        <f>Lists!$AR$103</f>
        <v>Stainless Steel</v>
      </c>
      <c r="M397" s="66" t="str">
        <f>Lists!$AR$103</f>
        <v>Stainless Steel</v>
      </c>
      <c r="N397" s="97"/>
    </row>
    <row r="398" spans="1:15" outlineLevel="2" x14ac:dyDescent="0.15">
      <c r="A398" s="1214"/>
      <c r="B398" s="8" t="s">
        <v>589</v>
      </c>
      <c r="D398" s="379"/>
      <c r="G398" s="66">
        <f t="shared" ref="G398:M398" ca="1" si="163">G340</f>
        <v>232.80296135945665</v>
      </c>
      <c r="H398" s="66">
        <f t="shared" ca="1" si="163"/>
        <v>232.80296135945665</v>
      </c>
      <c r="I398" s="66">
        <f t="shared" ca="1" si="163"/>
        <v>232.80296135945665</v>
      </c>
      <c r="J398" s="66">
        <f t="shared" ca="1" si="163"/>
        <v>232.80296135945665</v>
      </c>
      <c r="K398" s="66">
        <f t="shared" ca="1" si="163"/>
        <v>232.80296135945665</v>
      </c>
      <c r="L398" s="66">
        <f t="shared" ca="1" si="163"/>
        <v>232.80296135945665</v>
      </c>
      <c r="M398" s="66">
        <f t="shared" ca="1" si="163"/>
        <v>232.80296135945665</v>
      </c>
      <c r="N398" s="97"/>
    </row>
    <row r="399" spans="1:15" outlineLevel="2" x14ac:dyDescent="0.15">
      <c r="A399" s="1214"/>
      <c r="B399" s="8" t="s">
        <v>590</v>
      </c>
      <c r="D399" s="379"/>
      <c r="G399" s="148">
        <v>5</v>
      </c>
      <c r="H399" s="148">
        <f>5</f>
        <v>5</v>
      </c>
      <c r="I399" s="148">
        <f>5</f>
        <v>5</v>
      </c>
      <c r="J399" s="148">
        <f>5</f>
        <v>5</v>
      </c>
      <c r="K399" s="148">
        <f>5</f>
        <v>5</v>
      </c>
      <c r="L399" s="148">
        <f>5</f>
        <v>5</v>
      </c>
      <c r="M399" s="148">
        <f>5</f>
        <v>5</v>
      </c>
      <c r="N399" s="97"/>
      <c r="O399" s="66"/>
    </row>
    <row r="400" spans="1:15" outlineLevel="2" x14ac:dyDescent="0.15">
      <c r="A400" s="1214"/>
      <c r="B400" s="8" t="s">
        <v>591</v>
      </c>
      <c r="D400" s="379"/>
      <c r="G400" s="148">
        <f>0.3</f>
        <v>0.3</v>
      </c>
      <c r="H400" s="148">
        <f t="shared" ref="H400:M400" si="164">0.3</f>
        <v>0.3</v>
      </c>
      <c r="I400" s="148">
        <f t="shared" si="164"/>
        <v>0.3</v>
      </c>
      <c r="J400" s="148">
        <f t="shared" si="164"/>
        <v>0.3</v>
      </c>
      <c r="K400" s="148">
        <f t="shared" si="164"/>
        <v>0.3</v>
      </c>
      <c r="L400" s="148">
        <f t="shared" si="164"/>
        <v>0.3</v>
      </c>
      <c r="M400" s="148">
        <f t="shared" si="164"/>
        <v>0.3</v>
      </c>
      <c r="N400" s="97"/>
      <c r="O400" s="66"/>
    </row>
    <row r="401" spans="1:20" outlineLevel="2" x14ac:dyDescent="0.15">
      <c r="A401" s="1214"/>
      <c r="B401" s="8" t="s">
        <v>592</v>
      </c>
      <c r="D401" s="379"/>
      <c r="G401" s="66">
        <f>G399+2*G400</f>
        <v>5.6</v>
      </c>
      <c r="H401" s="66">
        <f t="shared" ref="H401:M401" si="165">H399+2*H400</f>
        <v>5.6</v>
      </c>
      <c r="I401" s="66">
        <f t="shared" si="165"/>
        <v>5.6</v>
      </c>
      <c r="J401" s="66">
        <f t="shared" si="165"/>
        <v>5.6</v>
      </c>
      <c r="K401" s="66">
        <f t="shared" si="165"/>
        <v>5.6</v>
      </c>
      <c r="L401" s="66">
        <f t="shared" si="165"/>
        <v>5.6</v>
      </c>
      <c r="M401" s="66">
        <f t="shared" si="165"/>
        <v>5.6</v>
      </c>
      <c r="N401" s="97"/>
      <c r="O401" s="66"/>
    </row>
    <row r="402" spans="1:20" outlineLevel="2" x14ac:dyDescent="0.15">
      <c r="A402" s="1214"/>
      <c r="B402" s="8" t="s">
        <v>593</v>
      </c>
      <c r="D402" s="379"/>
      <c r="G402" s="66">
        <f t="shared" ref="G402:M402" ca="1" si="166">G375-4</f>
        <v>2124.2127918567944</v>
      </c>
      <c r="H402" s="66">
        <f t="shared" ca="1" si="166"/>
        <v>2124.2127918567944</v>
      </c>
      <c r="I402" s="66">
        <f t="shared" ca="1" si="166"/>
        <v>2124.2127918567944</v>
      </c>
      <c r="J402" s="66">
        <f t="shared" ca="1" si="166"/>
        <v>2124.2127918567944</v>
      </c>
      <c r="K402" s="66">
        <f t="shared" ca="1" si="166"/>
        <v>2124.2127918567944</v>
      </c>
      <c r="L402" s="66">
        <f t="shared" ca="1" si="166"/>
        <v>2124.2127918567944</v>
      </c>
      <c r="M402" s="66">
        <f t="shared" ca="1" si="166"/>
        <v>2124.2127918567944</v>
      </c>
      <c r="N402" s="97"/>
      <c r="O402" s="66"/>
    </row>
    <row r="403" spans="1:20" outlineLevel="2" x14ac:dyDescent="0.15">
      <c r="A403" s="1214"/>
      <c r="B403" s="8" t="s">
        <v>594</v>
      </c>
      <c r="D403" s="379"/>
      <c r="G403" s="66">
        <f t="shared" ref="G403:M403" ca="1" si="167">G28*2*(2*G398*G402+2*G398*G399+2*G399*G402)*G400/1000/1000*_rho_steel</f>
        <v>18.956175536113246</v>
      </c>
      <c r="H403" s="66">
        <f t="shared" ca="1" si="167"/>
        <v>18.956175536113246</v>
      </c>
      <c r="I403" s="66">
        <f t="shared" ca="1" si="167"/>
        <v>18.956175536113246</v>
      </c>
      <c r="J403" s="66">
        <f t="shared" ca="1" si="167"/>
        <v>18.956175536113246</v>
      </c>
      <c r="K403" s="66">
        <f t="shared" ca="1" si="167"/>
        <v>18.956175536113246</v>
      </c>
      <c r="L403" s="66">
        <f t="shared" ca="1" si="167"/>
        <v>18.956175536113246</v>
      </c>
      <c r="M403" s="66">
        <f t="shared" ca="1" si="167"/>
        <v>18.956175536113246</v>
      </c>
      <c r="N403" s="97"/>
      <c r="O403" s="66"/>
    </row>
    <row r="404" spans="1:20" outlineLevel="2" x14ac:dyDescent="0.15">
      <c r="A404" s="1214"/>
      <c r="B404" s="8" t="s">
        <v>595</v>
      </c>
      <c r="D404" s="379"/>
      <c r="G404" s="148">
        <v>25</v>
      </c>
      <c r="H404" s="148">
        <v>25</v>
      </c>
      <c r="I404" s="148">
        <v>25</v>
      </c>
      <c r="J404" s="148">
        <v>25</v>
      </c>
      <c r="K404" s="148">
        <v>25</v>
      </c>
      <c r="L404" s="148">
        <v>25</v>
      </c>
      <c r="M404" s="148">
        <v>25</v>
      </c>
      <c r="N404" s="97"/>
    </row>
    <row r="405" spans="1:20" outlineLevel="2" x14ac:dyDescent="0.15">
      <c r="A405" s="1214"/>
      <c r="B405" s="8" t="s">
        <v>596</v>
      </c>
      <c r="D405" s="379"/>
      <c r="G405" s="148">
        <v>12</v>
      </c>
      <c r="H405" s="148">
        <v>12</v>
      </c>
      <c r="I405" s="148">
        <v>12</v>
      </c>
      <c r="J405" s="148">
        <v>12</v>
      </c>
      <c r="K405" s="148">
        <v>12</v>
      </c>
      <c r="L405" s="148">
        <v>12</v>
      </c>
      <c r="M405" s="148">
        <v>12</v>
      </c>
      <c r="N405" s="97"/>
    </row>
    <row r="406" spans="1:20" outlineLevel="2" x14ac:dyDescent="0.15">
      <c r="A406" s="1214"/>
      <c r="B406" s="8" t="s">
        <v>597</v>
      </c>
      <c r="D406" s="379"/>
      <c r="G406" s="11">
        <f t="shared" ref="G406:M406" ca="1" si="168">2*G28*G376</f>
        <v>2512.9989469121574</v>
      </c>
      <c r="H406" s="11">
        <f t="shared" ca="1" si="168"/>
        <v>2512.9989469121574</v>
      </c>
      <c r="I406" s="11">
        <f t="shared" ca="1" si="168"/>
        <v>2512.9989469121574</v>
      </c>
      <c r="J406" s="11">
        <f t="shared" ca="1" si="168"/>
        <v>2512.9989469121574</v>
      </c>
      <c r="K406" s="11">
        <f t="shared" ca="1" si="168"/>
        <v>2512.9989469121574</v>
      </c>
      <c r="L406" s="11">
        <f t="shared" ca="1" si="168"/>
        <v>2512.9989469121574</v>
      </c>
      <c r="M406" s="11">
        <f t="shared" ca="1" si="168"/>
        <v>2512.9989469121574</v>
      </c>
      <c r="N406" s="97"/>
    </row>
    <row r="407" spans="1:20" outlineLevel="2" x14ac:dyDescent="0.15">
      <c r="A407" s="1214"/>
      <c r="B407" s="8" t="s">
        <v>598</v>
      </c>
      <c r="D407" s="379"/>
      <c r="G407" s="11">
        <f t="shared" ref="G407:M407" ca="1" si="169">2*G28*(6+G356)</f>
        <v>696.00789695855099</v>
      </c>
      <c r="H407" s="11">
        <f t="shared" ca="1" si="169"/>
        <v>696.00789695855099</v>
      </c>
      <c r="I407" s="11">
        <f t="shared" ca="1" si="169"/>
        <v>696.00789695855099</v>
      </c>
      <c r="J407" s="11">
        <f t="shared" ca="1" si="169"/>
        <v>696.00789695855099</v>
      </c>
      <c r="K407" s="11">
        <f t="shared" ca="1" si="169"/>
        <v>696.00789695855099</v>
      </c>
      <c r="L407" s="11">
        <f t="shared" ca="1" si="169"/>
        <v>696.00789695855099</v>
      </c>
      <c r="M407" s="11">
        <f t="shared" ca="1" si="169"/>
        <v>696.00789695855099</v>
      </c>
      <c r="N407" s="97"/>
      <c r="O407" s="11"/>
    </row>
    <row r="408" spans="1:20" outlineLevel="2" x14ac:dyDescent="0.15">
      <c r="A408" s="1214"/>
      <c r="B408" s="8" t="s">
        <v>599</v>
      </c>
      <c r="D408" s="379"/>
      <c r="G408" s="11">
        <f t="shared" ref="G408:M408" ca="1" si="170">G406*((G404+1)^2-G404^2)*PI()/4/1000*_rho_steel</f>
        <v>785.13975254325806</v>
      </c>
      <c r="H408" s="11">
        <f t="shared" ca="1" si="170"/>
        <v>785.13975254325806</v>
      </c>
      <c r="I408" s="11">
        <f t="shared" ca="1" si="170"/>
        <v>785.13975254325806</v>
      </c>
      <c r="J408" s="11">
        <f t="shared" ca="1" si="170"/>
        <v>785.13975254325806</v>
      </c>
      <c r="K408" s="11">
        <f t="shared" ca="1" si="170"/>
        <v>785.13975254325806</v>
      </c>
      <c r="L408" s="11">
        <f t="shared" ca="1" si="170"/>
        <v>785.13975254325806</v>
      </c>
      <c r="M408" s="11">
        <f t="shared" ca="1" si="170"/>
        <v>785.13975254325806</v>
      </c>
      <c r="N408" s="97"/>
      <c r="O408" s="11"/>
    </row>
    <row r="409" spans="1:20" outlineLevel="2" x14ac:dyDescent="0.15">
      <c r="A409" s="1214"/>
      <c r="B409" s="8" t="s">
        <v>600</v>
      </c>
      <c r="D409" s="379"/>
      <c r="G409" s="11">
        <f t="shared" ref="G409:M409" ca="1" si="171">G407*(12.8^2-12^2)*PI()/4/1000*_rho_steel+4*G28*10</f>
        <v>244.59414767276454</v>
      </c>
      <c r="H409" s="11">
        <f t="shared" ca="1" si="171"/>
        <v>244.59414767276454</v>
      </c>
      <c r="I409" s="11">
        <f t="shared" ca="1" si="171"/>
        <v>244.59414767276454</v>
      </c>
      <c r="J409" s="11">
        <f t="shared" ca="1" si="171"/>
        <v>244.59414767276454</v>
      </c>
      <c r="K409" s="11">
        <f t="shared" ca="1" si="171"/>
        <v>244.59414767276454</v>
      </c>
      <c r="L409" s="11">
        <f t="shared" ca="1" si="171"/>
        <v>244.59414767276454</v>
      </c>
      <c r="M409" s="11">
        <f t="shared" ca="1" si="171"/>
        <v>244.59414767276454</v>
      </c>
      <c r="N409" s="97"/>
    </row>
    <row r="410" spans="1:20" outlineLevel="2" x14ac:dyDescent="0.15">
      <c r="A410" s="1214"/>
      <c r="B410" s="8" t="s">
        <v>601</v>
      </c>
      <c r="D410" s="379"/>
      <c r="G410" s="66">
        <f t="shared" ref="G410:M410" ca="1" si="172">(G408+G409)/1000</f>
        <v>1.0297339002160226</v>
      </c>
      <c r="H410" s="66">
        <f t="shared" ca="1" si="172"/>
        <v>1.0297339002160226</v>
      </c>
      <c r="I410" s="66">
        <f t="shared" ca="1" si="172"/>
        <v>1.0297339002160226</v>
      </c>
      <c r="J410" s="66">
        <f t="shared" ca="1" si="172"/>
        <v>1.0297339002160226</v>
      </c>
      <c r="K410" s="66">
        <f t="shared" ca="1" si="172"/>
        <v>1.0297339002160226</v>
      </c>
      <c r="L410" s="66">
        <f t="shared" ca="1" si="172"/>
        <v>1.0297339002160226</v>
      </c>
      <c r="M410" s="66">
        <f t="shared" ca="1" si="172"/>
        <v>1.0297339002160226</v>
      </c>
      <c r="N410" s="97"/>
    </row>
    <row r="411" spans="1:20" outlineLevel="2" x14ac:dyDescent="0.15">
      <c r="A411" s="1214"/>
      <c r="B411" s="8" t="s">
        <v>602</v>
      </c>
      <c r="D411" s="379"/>
      <c r="G411" s="15">
        <f ca="1">((G398*G399*G402*G28)+(G406*30^2*PI()/4)+(G407*15^2*PI()/4))/1000*Thermal!G114/1000</f>
        <v>12.615074871685314</v>
      </c>
      <c r="H411" s="15">
        <f ca="1">((H398*H399*H402*H28)+(H406*30^2*PI()/4)+(H407*15^2*PI()/4))/1000*Thermal!H114/1000</f>
        <v>12.615074871685314</v>
      </c>
      <c r="I411" s="15">
        <f ca="1">((I398*I399*I402*I28)+(I406*30^2*PI()/4)+(I407*15^2*PI()/4))/1000*Thermal!I114/1000</f>
        <v>12.615074871685314</v>
      </c>
      <c r="J411" s="15">
        <f ca="1">((J398*J399*J402*J28)+(J406*30^2*PI()/4)+(J407*15^2*PI()/4))/1000*Thermal!J114/1000</f>
        <v>12.615074871685314</v>
      </c>
      <c r="K411" s="15">
        <f ca="1">((K398*K399*K402*K28)+(K406*30^2*PI()/4)+(K407*15^2*PI()/4))/1000*Thermal!K114/1000</f>
        <v>12.615074871685314</v>
      </c>
      <c r="L411" s="15">
        <f ca="1">((L398*L399*L402*L28)+(L406*30^2*PI()/4)+(L407*15^2*PI()/4))/1000*Thermal!L114/1000</f>
        <v>12.615074871685314</v>
      </c>
      <c r="M411" s="15">
        <f ca="1">((M398*M399*M402*M28)+(M406*30^2*PI()/4)+(M407*15^2*PI()/4))/1000*Thermal!M114/1000</f>
        <v>12.615074871685314</v>
      </c>
      <c r="N411" s="97"/>
    </row>
    <row r="412" spans="1:20" outlineLevel="2" x14ac:dyDescent="0.15">
      <c r="A412" s="1214"/>
      <c r="B412" s="8" t="s">
        <v>603</v>
      </c>
      <c r="D412" s="379"/>
      <c r="G412" s="66">
        <f t="shared" ref="G412:M412" ca="1" si="173">G403+G410+G411</f>
        <v>32.600984308014581</v>
      </c>
      <c r="H412" s="66">
        <f t="shared" ca="1" si="173"/>
        <v>32.600984308014581</v>
      </c>
      <c r="I412" s="66">
        <f t="shared" ca="1" si="173"/>
        <v>32.600984308014581</v>
      </c>
      <c r="J412" s="66">
        <f t="shared" ca="1" si="173"/>
        <v>32.600984308014581</v>
      </c>
      <c r="K412" s="66">
        <f t="shared" ca="1" si="173"/>
        <v>32.600984308014581</v>
      </c>
      <c r="L412" s="66">
        <f t="shared" ca="1" si="173"/>
        <v>32.600984308014581</v>
      </c>
      <c r="M412" s="66">
        <f t="shared" ca="1" si="173"/>
        <v>32.600984308014581</v>
      </c>
      <c r="N412" s="97"/>
      <c r="O412" s="66"/>
    </row>
    <row r="413" spans="1:20" outlineLevel="2" x14ac:dyDescent="0.15">
      <c r="A413" s="1214"/>
      <c r="D413" s="379"/>
      <c r="G413" s="66"/>
      <c r="H413" s="66"/>
      <c r="I413" s="66"/>
      <c r="J413" s="66"/>
      <c r="K413" s="66"/>
      <c r="L413" s="66"/>
      <c r="M413" s="66"/>
      <c r="N413" s="97"/>
      <c r="O413" s="66"/>
    </row>
    <row r="414" spans="1:20" ht="14" outlineLevel="2" x14ac:dyDescent="0.15">
      <c r="A414" s="1214"/>
      <c r="B414" s="507" t="s">
        <v>604</v>
      </c>
      <c r="D414" s="379"/>
      <c r="F414" s="133"/>
      <c r="N414" s="97"/>
      <c r="O414" s="66"/>
    </row>
    <row r="415" spans="1:20" outlineLevel="2" x14ac:dyDescent="0.15">
      <c r="B415" s="8" t="s">
        <v>605</v>
      </c>
      <c r="D415" s="379"/>
      <c r="G415" s="11">
        <f t="shared" ref="G415:M415" ca="1" si="174">G375+G418+2*G421</f>
        <v>2154.2127918567944</v>
      </c>
      <c r="H415" s="11">
        <f t="shared" ca="1" si="174"/>
        <v>2154.2127918567944</v>
      </c>
      <c r="I415" s="11">
        <f t="shared" ca="1" si="174"/>
        <v>2154.2127918567944</v>
      </c>
      <c r="J415" s="11">
        <f t="shared" ca="1" si="174"/>
        <v>2154.2127918567944</v>
      </c>
      <c r="K415" s="11">
        <f t="shared" ca="1" si="174"/>
        <v>2154.2127918567944</v>
      </c>
      <c r="L415" s="11">
        <f t="shared" ca="1" si="174"/>
        <v>2154.2127918567944</v>
      </c>
      <c r="M415" s="11">
        <f t="shared" ca="1" si="174"/>
        <v>2154.2127918567944</v>
      </c>
      <c r="N415" s="97"/>
    </row>
    <row r="416" spans="1:20" outlineLevel="2" x14ac:dyDescent="0.15">
      <c r="A416" s="1214"/>
      <c r="B416" s="8" t="s">
        <v>606</v>
      </c>
      <c r="D416" s="379"/>
      <c r="G416" s="11">
        <f t="shared" ref="G416:M416" ca="1" si="175">G28*G376+G418+G419+2*G421</f>
        <v>1317.4994734560787</v>
      </c>
      <c r="H416" s="11">
        <f t="shared" ca="1" si="175"/>
        <v>1317.4994734560787</v>
      </c>
      <c r="I416" s="11">
        <f t="shared" ca="1" si="175"/>
        <v>1317.4994734560787</v>
      </c>
      <c r="J416" s="11">
        <f t="shared" ca="1" si="175"/>
        <v>1317.4994734560787</v>
      </c>
      <c r="K416" s="11">
        <f t="shared" ca="1" si="175"/>
        <v>1317.4994734560787</v>
      </c>
      <c r="L416" s="11">
        <f t="shared" ca="1" si="175"/>
        <v>1317.4994734560787</v>
      </c>
      <c r="M416" s="11">
        <f t="shared" ca="1" si="175"/>
        <v>1317.4994734560787</v>
      </c>
      <c r="N416" s="97"/>
      <c r="O416" s="97"/>
      <c r="P416" s="97"/>
      <c r="Q416" s="97"/>
      <c r="R416" s="97"/>
      <c r="S416" s="97"/>
      <c r="T416" s="97"/>
    </row>
    <row r="417" spans="1:20" outlineLevel="2" x14ac:dyDescent="0.15">
      <c r="A417" s="1214"/>
      <c r="B417" s="8" t="s">
        <v>607</v>
      </c>
      <c r="D417" s="379"/>
      <c r="G417" s="11">
        <f t="shared" ref="G417:M417" ca="1" si="176">G377+G418+G421+G422</f>
        <v>121.20098711981888</v>
      </c>
      <c r="H417" s="11">
        <f t="shared" ca="1" si="176"/>
        <v>121.20098711981888</v>
      </c>
      <c r="I417" s="11">
        <f t="shared" ca="1" si="176"/>
        <v>121.20098711981888</v>
      </c>
      <c r="J417" s="11">
        <f t="shared" ca="1" si="176"/>
        <v>121.20098711981888</v>
      </c>
      <c r="K417" s="11">
        <f t="shared" ca="1" si="176"/>
        <v>121.20098711981888</v>
      </c>
      <c r="L417" s="11">
        <f t="shared" ca="1" si="176"/>
        <v>121.20098711981888</v>
      </c>
      <c r="M417" s="11">
        <f t="shared" ca="1" si="176"/>
        <v>121.20098711981888</v>
      </c>
      <c r="N417" s="97"/>
      <c r="O417" s="97"/>
      <c r="P417" s="97"/>
      <c r="Q417" s="97"/>
      <c r="R417" s="97"/>
      <c r="S417" s="97"/>
      <c r="T417" s="97"/>
    </row>
    <row r="418" spans="1:20" outlineLevel="2" x14ac:dyDescent="0.15">
      <c r="A418" s="1214"/>
      <c r="B418" s="8" t="s">
        <v>608</v>
      </c>
      <c r="D418" s="379"/>
      <c r="G418" s="76">
        <f>2</f>
        <v>2</v>
      </c>
      <c r="H418" s="76">
        <f>2</f>
        <v>2</v>
      </c>
      <c r="I418" s="76">
        <f>2</f>
        <v>2</v>
      </c>
      <c r="J418" s="76">
        <f>2</f>
        <v>2</v>
      </c>
      <c r="K418" s="76">
        <f>2</f>
        <v>2</v>
      </c>
      <c r="L418" s="76">
        <f>2</f>
        <v>2</v>
      </c>
      <c r="M418" s="76">
        <f>2</f>
        <v>2</v>
      </c>
      <c r="N418" s="97"/>
      <c r="O418" s="97"/>
      <c r="P418" s="97"/>
      <c r="Q418" s="97"/>
      <c r="R418" s="97"/>
      <c r="S418" s="97"/>
      <c r="T418" s="97"/>
    </row>
    <row r="419" spans="1:20" outlineLevel="2" x14ac:dyDescent="0.15">
      <c r="A419" s="1214"/>
      <c r="B419" s="8" t="s">
        <v>609</v>
      </c>
      <c r="D419" s="379"/>
      <c r="G419" s="11">
        <f t="shared" ref="G419:M419" si="177">10*G199+15*(G207+MOD(G28+1,2))+5*(G199+(G207+MOD(G28+1,2))-1)</f>
        <v>35</v>
      </c>
      <c r="H419" s="11">
        <f t="shared" si="177"/>
        <v>35</v>
      </c>
      <c r="I419" s="11">
        <f t="shared" si="177"/>
        <v>35</v>
      </c>
      <c r="J419" s="11">
        <f t="shared" si="177"/>
        <v>35</v>
      </c>
      <c r="K419" s="11">
        <f t="shared" si="177"/>
        <v>35</v>
      </c>
      <c r="L419" s="11">
        <f t="shared" si="177"/>
        <v>35</v>
      </c>
      <c r="M419" s="11">
        <f t="shared" si="177"/>
        <v>35</v>
      </c>
      <c r="N419" s="97"/>
    </row>
    <row r="420" spans="1:20" outlineLevel="2" x14ac:dyDescent="0.15">
      <c r="A420" s="1214"/>
      <c r="B420" s="8" t="s">
        <v>610</v>
      </c>
      <c r="D420" s="379"/>
      <c r="G420" s="333">
        <f>10</f>
        <v>10</v>
      </c>
      <c r="H420" s="333">
        <f>10</f>
        <v>10</v>
      </c>
      <c r="I420" s="333">
        <f>10</f>
        <v>10</v>
      </c>
      <c r="J420" s="333">
        <f>10</f>
        <v>10</v>
      </c>
      <c r="K420" s="333">
        <f>10</f>
        <v>10</v>
      </c>
      <c r="L420" s="333">
        <f>10</f>
        <v>10</v>
      </c>
      <c r="M420" s="333">
        <f>10</f>
        <v>10</v>
      </c>
      <c r="N420" s="97"/>
    </row>
    <row r="421" spans="1:20" outlineLevel="2" x14ac:dyDescent="0.15">
      <c r="A421" s="1214"/>
      <c r="B421" s="8" t="s">
        <v>611</v>
      </c>
      <c r="D421" s="379"/>
      <c r="F421" s="133"/>
      <c r="G421" s="11">
        <f t="shared" ref="G421:M421" si="178">G420+G427+G429</f>
        <v>12</v>
      </c>
      <c r="H421" s="11">
        <f t="shared" si="178"/>
        <v>12</v>
      </c>
      <c r="I421" s="11">
        <f t="shared" si="178"/>
        <v>12</v>
      </c>
      <c r="J421" s="11">
        <f t="shared" si="178"/>
        <v>12</v>
      </c>
      <c r="K421" s="11">
        <f t="shared" si="178"/>
        <v>12</v>
      </c>
      <c r="L421" s="11">
        <f t="shared" si="178"/>
        <v>12</v>
      </c>
      <c r="M421" s="11">
        <f t="shared" si="178"/>
        <v>12</v>
      </c>
      <c r="N421" s="97"/>
    </row>
    <row r="422" spans="1:20" outlineLevel="2" x14ac:dyDescent="0.15">
      <c r="A422" s="1214"/>
      <c r="B422" s="8" t="s">
        <v>612</v>
      </c>
      <c r="D422" s="379"/>
      <c r="F422" s="133"/>
      <c r="G422" s="11">
        <f t="shared" ref="G422:M422" si="179">G420+G442+G443</f>
        <v>13</v>
      </c>
      <c r="H422" s="11">
        <f t="shared" si="179"/>
        <v>13</v>
      </c>
      <c r="I422" s="11">
        <f t="shared" si="179"/>
        <v>13</v>
      </c>
      <c r="J422" s="11">
        <f t="shared" si="179"/>
        <v>13</v>
      </c>
      <c r="K422" s="11">
        <f t="shared" si="179"/>
        <v>13</v>
      </c>
      <c r="L422" s="11">
        <f t="shared" si="179"/>
        <v>13</v>
      </c>
      <c r="M422" s="11">
        <f t="shared" si="179"/>
        <v>13</v>
      </c>
      <c r="N422" s="97"/>
    </row>
    <row r="423" spans="1:20" outlineLevel="2" x14ac:dyDescent="0.15">
      <c r="A423" s="1214"/>
      <c r="B423" s="8" t="s">
        <v>613</v>
      </c>
      <c r="D423" s="379"/>
      <c r="F423" s="133"/>
      <c r="G423" s="11">
        <f t="shared" ref="G423:M423" ca="1" si="180">G28*G376+G418+G419</f>
        <v>1293.4994734560787</v>
      </c>
      <c r="H423" s="11">
        <f t="shared" ca="1" si="180"/>
        <v>1293.4994734560787</v>
      </c>
      <c r="I423" s="11">
        <f t="shared" ca="1" si="180"/>
        <v>1293.4994734560787</v>
      </c>
      <c r="J423" s="11">
        <f t="shared" ca="1" si="180"/>
        <v>1293.4994734560787</v>
      </c>
      <c r="K423" s="11">
        <f t="shared" ca="1" si="180"/>
        <v>1293.4994734560787</v>
      </c>
      <c r="L423" s="11">
        <f t="shared" ca="1" si="180"/>
        <v>1293.4994734560787</v>
      </c>
      <c r="M423" s="11">
        <f t="shared" ca="1" si="180"/>
        <v>1293.4994734560787</v>
      </c>
      <c r="N423" s="97"/>
    </row>
    <row r="424" spans="1:20" outlineLevel="2" x14ac:dyDescent="0.15">
      <c r="A424" s="1214"/>
      <c r="D424" s="379"/>
      <c r="F424" s="133"/>
      <c r="G424" s="11"/>
      <c r="H424" s="11"/>
      <c r="I424" s="11"/>
      <c r="J424" s="11"/>
      <c r="K424" s="11"/>
      <c r="L424" s="11"/>
      <c r="M424" s="11"/>
      <c r="N424" s="97"/>
    </row>
    <row r="425" spans="1:20" outlineLevel="2" x14ac:dyDescent="0.15">
      <c r="A425" s="1214"/>
      <c r="B425" s="225" t="s">
        <v>614</v>
      </c>
      <c r="D425" s="379"/>
      <c r="F425" s="133"/>
      <c r="N425" s="1122"/>
    </row>
    <row r="426" spans="1:20" outlineLevel="2" x14ac:dyDescent="0.15">
      <c r="A426" s="1214"/>
      <c r="B426" s="8" t="s">
        <v>615</v>
      </c>
      <c r="D426" s="379"/>
      <c r="F426" s="133"/>
      <c r="G426" s="46" t="str">
        <f>Lists!$AR$107</f>
        <v>Aluminum</v>
      </c>
      <c r="H426" s="46" t="str">
        <f>Lists!$AR$107</f>
        <v>Aluminum</v>
      </c>
      <c r="I426" s="46" t="str">
        <f>Lists!$AR$107</f>
        <v>Aluminum</v>
      </c>
      <c r="J426" s="46" t="str">
        <f>Lists!$AR$107</f>
        <v>Aluminum</v>
      </c>
      <c r="K426" s="46" t="str">
        <f>Lists!$AR$107</f>
        <v>Aluminum</v>
      </c>
      <c r="L426" s="46" t="str">
        <f>Lists!$AR$107</f>
        <v>Aluminum</v>
      </c>
      <c r="M426" s="46" t="str">
        <f>Lists!$AR$107</f>
        <v>Aluminum</v>
      </c>
      <c r="N426" s="1122"/>
    </row>
    <row r="427" spans="1:20" outlineLevel="2" x14ac:dyDescent="0.15">
      <c r="A427" s="1214"/>
      <c r="B427" s="8" t="s">
        <v>616</v>
      </c>
      <c r="D427" s="379"/>
      <c r="F427" s="133"/>
      <c r="G427" s="148">
        <v>1</v>
      </c>
      <c r="H427" s="148">
        <v>1</v>
      </c>
      <c r="I427" s="148">
        <v>1</v>
      </c>
      <c r="J427" s="148">
        <v>1</v>
      </c>
      <c r="K427" s="148">
        <v>1</v>
      </c>
      <c r="L427" s="148">
        <v>1</v>
      </c>
      <c r="M427" s="148">
        <v>1</v>
      </c>
      <c r="N427" s="97"/>
    </row>
    <row r="428" spans="1:20" outlineLevel="2" x14ac:dyDescent="0.15">
      <c r="A428" s="1214"/>
      <c r="B428" s="8" t="s">
        <v>617</v>
      </c>
      <c r="D428" s="379"/>
      <c r="F428" s="133"/>
      <c r="G428" s="66" t="str">
        <f>Lists!$AR$108</f>
        <v>Steel</v>
      </c>
      <c r="H428" s="66" t="str">
        <f>Lists!$AR$108</f>
        <v>Steel</v>
      </c>
      <c r="I428" s="66" t="str">
        <f>Lists!$AR$108</f>
        <v>Steel</v>
      </c>
      <c r="J428" s="66" t="str">
        <f>Lists!$AR$108</f>
        <v>Steel</v>
      </c>
      <c r="K428" s="66" t="str">
        <f>Lists!$AR$108</f>
        <v>Steel</v>
      </c>
      <c r="L428" s="66" t="str">
        <f>Lists!$AR$108</f>
        <v>Steel</v>
      </c>
      <c r="M428" s="66" t="str">
        <f>Lists!$AR$108</f>
        <v>Steel</v>
      </c>
      <c r="N428" s="97"/>
    </row>
    <row r="429" spans="1:20" outlineLevel="2" x14ac:dyDescent="0.15">
      <c r="A429" s="1214"/>
      <c r="B429" s="8" t="s">
        <v>618</v>
      </c>
      <c r="D429" s="379"/>
      <c r="F429" s="133"/>
      <c r="G429" s="148">
        <f>1</f>
        <v>1</v>
      </c>
      <c r="H429" s="148">
        <f>1</f>
        <v>1</v>
      </c>
      <c r="I429" s="148">
        <f>1</f>
        <v>1</v>
      </c>
      <c r="J429" s="148">
        <f>1</f>
        <v>1</v>
      </c>
      <c r="K429" s="148">
        <f>1</f>
        <v>1</v>
      </c>
      <c r="L429" s="148">
        <f>1</f>
        <v>1</v>
      </c>
      <c r="M429" s="148">
        <f>1</f>
        <v>1</v>
      </c>
      <c r="N429" s="97"/>
    </row>
    <row r="430" spans="1:20" outlineLevel="2" x14ac:dyDescent="0.15">
      <c r="A430" s="1214"/>
      <c r="B430" s="8" t="s">
        <v>619</v>
      </c>
      <c r="D430" s="379"/>
      <c r="F430" s="133"/>
      <c r="G430" s="66" t="str">
        <f>Lists!$AR$106</f>
        <v>Steel</v>
      </c>
      <c r="H430" s="66" t="str">
        <f>Lists!$AR$106</f>
        <v>Steel</v>
      </c>
      <c r="I430" s="66" t="str">
        <f>Lists!$AR$106</f>
        <v>Steel</v>
      </c>
      <c r="J430" s="66" t="str">
        <f>Lists!$AR$106</f>
        <v>Steel</v>
      </c>
      <c r="K430" s="66" t="str">
        <f>Lists!$AR$106</f>
        <v>Steel</v>
      </c>
      <c r="L430" s="66" t="str">
        <f>Lists!$AR$106</f>
        <v>Steel</v>
      </c>
      <c r="M430" s="66" t="str">
        <f>Lists!$AR$106</f>
        <v>Steel</v>
      </c>
      <c r="N430" s="97"/>
    </row>
    <row r="431" spans="1:20" outlineLevel="2" x14ac:dyDescent="0.15">
      <c r="A431" s="1214"/>
      <c r="B431" s="8" t="s">
        <v>620</v>
      </c>
      <c r="D431" s="379"/>
      <c r="F431" s="133"/>
      <c r="G431" s="66" t="str">
        <f ca="1">INDEX(Lists!$AP$133:$AP$137, MATCH(G29*G357, Lists!$AQ$133:$AQ$137, 1))</f>
        <v>40 x 40 x 4</v>
      </c>
      <c r="H431" s="66" t="str">
        <f t="shared" ref="H431:M431" ca="1" si="181">IF(H29*H357&lt;40,"30 x 30 x 3","40 x 40 x 4")</f>
        <v>40 x 40 x 4</v>
      </c>
      <c r="I431" s="66" t="str">
        <f t="shared" ca="1" si="181"/>
        <v>40 x 40 x 4</v>
      </c>
      <c r="J431" s="66" t="str">
        <f t="shared" ca="1" si="181"/>
        <v>40 x 40 x 4</v>
      </c>
      <c r="K431" s="66" t="str">
        <f t="shared" ca="1" si="181"/>
        <v>40 x 40 x 4</v>
      </c>
      <c r="L431" s="66" t="str">
        <f t="shared" ca="1" si="181"/>
        <v>40 x 40 x 4</v>
      </c>
      <c r="M431" s="66" t="str">
        <f t="shared" ca="1" si="181"/>
        <v>40 x 40 x 4</v>
      </c>
      <c r="N431" s="97"/>
    </row>
    <row r="432" spans="1:20" outlineLevel="2" x14ac:dyDescent="0.15">
      <c r="A432" s="1214"/>
      <c r="B432" s="8" t="s">
        <v>621</v>
      </c>
      <c r="D432" s="379"/>
      <c r="F432" s="133"/>
      <c r="G432" s="66">
        <f ca="1">INDEX(Lists!$AU$133:$AU$137, MATCH(G29*G357, Lists!$AQ$133:$AQ$137, 1))*Lists!$AS$106/1000</f>
        <v>2.3712</v>
      </c>
      <c r="H432" s="66">
        <f ca="1">INDEX(Lists!$AU$133:$AU$137, MATCH(H29*H357, Lists!$AQ$133:$AQ$137, 1))*Lists!$AS$106/1000</f>
        <v>2.3712</v>
      </c>
      <c r="I432" s="66">
        <f ca="1">INDEX(Lists!$AU$133:$AU$137, MATCH(I29*I357, Lists!$AQ$133:$AQ$137, 1))*Lists!$AS$106/1000</f>
        <v>2.3712</v>
      </c>
      <c r="J432" s="66">
        <f ca="1">INDEX(Lists!$AU$133:$AU$137, MATCH(J29*J357, Lists!$AQ$133:$AQ$137, 1))*Lists!$AS$106/1000</f>
        <v>2.3712</v>
      </c>
      <c r="K432" s="66">
        <f ca="1">INDEX(Lists!$AU$133:$AU$137, MATCH(K29*K357, Lists!$AQ$133:$AQ$137, 1))*Lists!$AS$106/1000</f>
        <v>2.3712</v>
      </c>
      <c r="L432" s="66">
        <f ca="1">INDEX(Lists!$AU$133:$AU$137, MATCH(L29*L357, Lists!$AQ$133:$AQ$137, 1))*Lists!$AS$106/1000</f>
        <v>2.3712</v>
      </c>
      <c r="M432" s="66">
        <f ca="1">INDEX(Lists!$AU$133:$AU$137, MATCH(M29*M357, Lists!$AQ$133:$AQ$137, 1))*Lists!$AS$106/1000</f>
        <v>2.3712</v>
      </c>
      <c r="N432" s="97"/>
    </row>
    <row r="433" spans="1:14" outlineLevel="2" x14ac:dyDescent="0.15">
      <c r="A433" s="1214"/>
      <c r="B433" s="8" t="s">
        <v>622</v>
      </c>
      <c r="D433" s="379"/>
      <c r="F433" s="133"/>
      <c r="G433" s="1079"/>
      <c r="H433" s="1079"/>
      <c r="I433" s="1079"/>
      <c r="J433" s="1079"/>
      <c r="K433" s="1079"/>
      <c r="L433" s="1079"/>
      <c r="M433" s="1079"/>
      <c r="N433" s="97"/>
    </row>
    <row r="434" spans="1:14" outlineLevel="2" x14ac:dyDescent="0.15">
      <c r="A434" s="1214"/>
      <c r="B434" s="8" t="s">
        <v>623</v>
      </c>
      <c r="D434" s="379"/>
      <c r="F434" s="133"/>
      <c r="G434" s="66">
        <f ca="1">IF(G433="", G432, G433)*(G415*2+2*G416)/1000</f>
        <v>16.464248247019768</v>
      </c>
      <c r="H434" s="66">
        <f t="shared" ref="H434:M434" ca="1" si="182">IF(H433="", H432, H433)*(H415*2+2*H416)/1000</f>
        <v>16.464248247019768</v>
      </c>
      <c r="I434" s="66">
        <f t="shared" ca="1" si="182"/>
        <v>16.464248247019768</v>
      </c>
      <c r="J434" s="66">
        <f t="shared" ca="1" si="182"/>
        <v>16.464248247019768</v>
      </c>
      <c r="K434" s="66">
        <f t="shared" ca="1" si="182"/>
        <v>16.464248247019768</v>
      </c>
      <c r="L434" s="66">
        <f t="shared" ca="1" si="182"/>
        <v>16.464248247019768</v>
      </c>
      <c r="M434" s="66">
        <f t="shared" ca="1" si="182"/>
        <v>16.464248247019768</v>
      </c>
      <c r="N434" s="1122"/>
    </row>
    <row r="435" spans="1:14" outlineLevel="2" x14ac:dyDescent="0.15">
      <c r="A435" s="1214"/>
      <c r="B435" s="8" t="s">
        <v>624</v>
      </c>
      <c r="D435" s="379"/>
      <c r="F435" s="133"/>
      <c r="G435" s="66">
        <f ca="1">((G415-2*G421)*G423*G429/1000)*Lists!$AS$107/1000</f>
        <v>7.4396586364636512</v>
      </c>
      <c r="H435" s="66">
        <f ca="1">((H415-2*H421)*H423*H429/1000)*Lists!$AS$107/1000</f>
        <v>7.4396586364636512</v>
      </c>
      <c r="I435" s="66">
        <f ca="1">((I415-2*I421)*I423*I429/1000)*Lists!$AS$107/1000</f>
        <v>7.4396586364636512</v>
      </c>
      <c r="J435" s="66">
        <f ca="1">((J415-2*J421)*J423*J429/1000)*Lists!$AS$107/1000</f>
        <v>7.4396586364636512</v>
      </c>
      <c r="K435" s="66">
        <f ca="1">((K415-2*K421)*K423*K429/1000)*Lists!$AS$107/1000</f>
        <v>7.4396586364636512</v>
      </c>
      <c r="L435" s="66">
        <f ca="1">((L415-2*L421)*L423*L429/1000)*Lists!$AS$107/1000</f>
        <v>7.4396586364636512</v>
      </c>
      <c r="M435" s="66">
        <f ca="1">((M415-2*M421)*M423*M429/1000)*Lists!$AS$107/1000</f>
        <v>7.4396586364636512</v>
      </c>
      <c r="N435" s="97"/>
    </row>
    <row r="436" spans="1:14" outlineLevel="2" x14ac:dyDescent="0.15">
      <c r="A436" s="1214"/>
      <c r="B436" s="8" t="s">
        <v>625</v>
      </c>
      <c r="D436" s="379"/>
      <c r="F436" s="133"/>
      <c r="G436" s="66">
        <f ca="1">(((G415-2*G421)*G423+2*((G415-2*G421)+G423)*(G421-4))*G427/1000)*Lists!$AS$108/1000</f>
        <v>21.919626462717147</v>
      </c>
      <c r="H436" s="66">
        <f ca="1">(((H415-2*H421)*H423+2*((H415-2*H421)+H423)*(H421-4))*H427/1000)*Lists!$AS$108/1000</f>
        <v>21.919626462717147</v>
      </c>
      <c r="I436" s="66">
        <f ca="1">(((I415-2*I421)*I423+2*((I415-2*I421)+I423)*(I421-4))*I427/1000)*Lists!$AS$108/1000</f>
        <v>21.919626462717147</v>
      </c>
      <c r="J436" s="66">
        <f ca="1">(((J415-2*J421)*J423+2*((J415-2*J421)+J423)*(J421-4))*J427/1000)*Lists!$AS$108/1000</f>
        <v>21.919626462717147</v>
      </c>
      <c r="K436" s="66">
        <f ca="1">(((K415-2*K421)*K423+2*((K415-2*K421)+K423)*(K421-4))*K427/1000)*Lists!$AS$108/1000</f>
        <v>21.919626462717147</v>
      </c>
      <c r="L436" s="66">
        <f ca="1">(((L415-2*L421)*L423+2*((L415-2*L421)+L423)*(L421-4))*L427/1000)*Lists!$AS$108/1000</f>
        <v>21.919626462717147</v>
      </c>
      <c r="M436" s="66">
        <f ca="1">(((M415-2*M421)*M423+2*((M415-2*M421)+M423)*(M421-4))*M427/1000)*Lists!$AS$108/1000</f>
        <v>21.919626462717147</v>
      </c>
      <c r="N436" s="97"/>
    </row>
    <row r="437" spans="1:14" ht="15" outlineLevel="2" x14ac:dyDescent="0.15">
      <c r="A437" s="1214"/>
      <c r="B437" s="8" t="s">
        <v>626</v>
      </c>
      <c r="D437" s="379"/>
      <c r="F437" s="133"/>
      <c r="G437" s="386">
        <f t="shared" ref="G437:M437" ca="1" si="183">((G415-2*G421)*G423)/100/10000</f>
        <v>2.7554291246161671</v>
      </c>
      <c r="H437" s="386">
        <f t="shared" ca="1" si="183"/>
        <v>2.7554291246161671</v>
      </c>
      <c r="I437" s="386">
        <f t="shared" ca="1" si="183"/>
        <v>2.7554291246161671</v>
      </c>
      <c r="J437" s="386">
        <f t="shared" ca="1" si="183"/>
        <v>2.7554291246161671</v>
      </c>
      <c r="K437" s="386">
        <f t="shared" ca="1" si="183"/>
        <v>2.7554291246161671</v>
      </c>
      <c r="L437" s="386">
        <f t="shared" ca="1" si="183"/>
        <v>2.7554291246161671</v>
      </c>
      <c r="M437" s="386">
        <f t="shared" ca="1" si="183"/>
        <v>2.7554291246161671</v>
      </c>
      <c r="N437" s="97"/>
    </row>
    <row r="438" spans="1:14" outlineLevel="2" x14ac:dyDescent="0.15">
      <c r="A438" s="1214"/>
      <c r="B438" s="8" t="s">
        <v>627</v>
      </c>
      <c r="D438" s="379"/>
      <c r="F438" s="133"/>
      <c r="G438" s="66">
        <f ca="1">G434+G435+G436+G437*G420*Lists!$AS$109</f>
        <v>46.705270666077737</v>
      </c>
      <c r="H438" s="66">
        <f ca="1">H434+H435+H436+H437*H420*Lists!$AS$109</f>
        <v>46.705270666077737</v>
      </c>
      <c r="I438" s="66">
        <f ca="1">I434+I435+I436+I437*I420*Lists!$AS$109</f>
        <v>46.705270666077737</v>
      </c>
      <c r="J438" s="66">
        <f ca="1">J434+J435+J436+J437*J420*Lists!$AS$109</f>
        <v>46.705270666077737</v>
      </c>
      <c r="K438" s="66">
        <f ca="1">K434+K435+K436+K437*K420*Lists!$AS$109</f>
        <v>46.705270666077737</v>
      </c>
      <c r="L438" s="66">
        <f ca="1">L434+L435+L436+L437*L420*Lists!$AS$109</f>
        <v>46.705270666077737</v>
      </c>
      <c r="M438" s="66">
        <f ca="1">M434+M435+M436+M437*M420*Lists!$AS$109</f>
        <v>46.705270666077737</v>
      </c>
      <c r="N438" s="97"/>
    </row>
    <row r="439" spans="1:14" outlineLevel="2" x14ac:dyDescent="0.15">
      <c r="A439" s="1214"/>
      <c r="D439" s="379"/>
      <c r="F439" s="133"/>
      <c r="G439" s="66"/>
      <c r="H439" s="66"/>
      <c r="I439" s="66"/>
      <c r="J439" s="66"/>
      <c r="K439" s="66"/>
      <c r="L439" s="66"/>
      <c r="M439" s="66"/>
      <c r="N439" s="97"/>
    </row>
    <row r="440" spans="1:14" outlineLevel="2" x14ac:dyDescent="0.15">
      <c r="A440" s="1214"/>
      <c r="B440" s="225" t="s">
        <v>628</v>
      </c>
      <c r="D440" s="379"/>
      <c r="F440" s="133"/>
      <c r="G440" s="66"/>
      <c r="H440" s="66"/>
      <c r="I440" s="66"/>
      <c r="J440" s="66"/>
      <c r="K440" s="66"/>
      <c r="L440" s="66"/>
      <c r="M440" s="66"/>
      <c r="N440" s="97"/>
    </row>
    <row r="441" spans="1:14" outlineLevel="2" x14ac:dyDescent="0.15">
      <c r="A441" s="1214"/>
      <c r="B441" s="8" t="s">
        <v>629</v>
      </c>
      <c r="D441" s="379"/>
      <c r="F441" s="133"/>
      <c r="G441" s="66" t="str">
        <f>Lists!$AR$107</f>
        <v>Aluminum</v>
      </c>
      <c r="H441" s="66" t="str">
        <f>Lists!$AR$107</f>
        <v>Aluminum</v>
      </c>
      <c r="I441" s="66" t="str">
        <f>Lists!$AR$107</f>
        <v>Aluminum</v>
      </c>
      <c r="J441" s="66" t="str">
        <f>Lists!$AR$107</f>
        <v>Aluminum</v>
      </c>
      <c r="K441" s="66" t="str">
        <f>Lists!$AR$107</f>
        <v>Aluminum</v>
      </c>
      <c r="L441" s="66" t="str">
        <f>Lists!$AR$107</f>
        <v>Aluminum</v>
      </c>
      <c r="M441" s="66" t="str">
        <f>Lists!$AR$107</f>
        <v>Aluminum</v>
      </c>
      <c r="N441" s="97"/>
    </row>
    <row r="442" spans="1:14" outlineLevel="2" x14ac:dyDescent="0.15">
      <c r="A442" s="1214"/>
      <c r="B442" s="8" t="s">
        <v>616</v>
      </c>
      <c r="D442" s="379"/>
      <c r="F442" s="133"/>
      <c r="G442" s="148">
        <f>1</f>
        <v>1</v>
      </c>
      <c r="H442" s="148">
        <f>1</f>
        <v>1</v>
      </c>
      <c r="I442" s="148">
        <f>1</f>
        <v>1</v>
      </c>
      <c r="J442" s="148">
        <f>1</f>
        <v>1</v>
      </c>
      <c r="K442" s="148">
        <f>1</f>
        <v>1</v>
      </c>
      <c r="L442" s="148">
        <f>1</f>
        <v>1</v>
      </c>
      <c r="M442" s="148">
        <f>1</f>
        <v>1</v>
      </c>
      <c r="N442" s="1122"/>
    </row>
    <row r="443" spans="1:14" outlineLevel="2" x14ac:dyDescent="0.15">
      <c r="A443" s="1214"/>
      <c r="B443" s="8" t="s">
        <v>630</v>
      </c>
      <c r="D443" s="379"/>
      <c r="F443" s="133"/>
      <c r="G443" s="66">
        <f t="shared" ref="G443:M443" si="184">IF(G15&lt;10,1,IF(G15&lt;20,1.5,2))</f>
        <v>2</v>
      </c>
      <c r="H443" s="66">
        <f t="shared" si="184"/>
        <v>2</v>
      </c>
      <c r="I443" s="66">
        <f t="shared" si="184"/>
        <v>2</v>
      </c>
      <c r="J443" s="66">
        <f t="shared" si="184"/>
        <v>2</v>
      </c>
      <c r="K443" s="66">
        <f t="shared" si="184"/>
        <v>2</v>
      </c>
      <c r="L443" s="66">
        <f t="shared" si="184"/>
        <v>2</v>
      </c>
      <c r="M443" s="66">
        <f t="shared" si="184"/>
        <v>2</v>
      </c>
      <c r="N443" s="1088"/>
    </row>
    <row r="444" spans="1:14" outlineLevel="2" x14ac:dyDescent="0.15">
      <c r="A444" s="1214"/>
      <c r="B444" s="8" t="s">
        <v>631</v>
      </c>
      <c r="D444" s="379"/>
      <c r="F444" s="133"/>
      <c r="G444" s="66">
        <f ca="1">(2*(G415+G416)*G417*G443/1000+2*((G416-2*G421)+(G415-2*G421))*(G417-2*G421)*G442/1000+(G415*G416)*G443/1000+(G415-2*G421)*(G416-2*G421)*G442/1000)*Lists!$AS$107/1000</f>
        <v>29.107225261070322</v>
      </c>
      <c r="H444" s="66">
        <f ca="1">(2*(H415+H416)*H417*H443/1000+2*((H416-2*H421)+(H415-2*H421))*(H417-2*H421)*H442/1000+(H415*H416)*H443/1000+(H415-2*H421)*(H416-2*H421)*H442/1000)*Lists!$AS$107/1000</f>
        <v>29.107225261070322</v>
      </c>
      <c r="I444" s="66">
        <f ca="1">(2*(I415+I416)*I417*I443/1000+2*((I416-2*I421)+(I415-2*I421))*(I417-2*I421)*I442/1000+(I415*I416)*I443/1000+(I415-2*I421)*(I416-2*I421)*I442/1000)*Lists!$AS$107/1000</f>
        <v>29.107225261070322</v>
      </c>
      <c r="J444" s="66">
        <f ca="1">(2*(J415+J416)*J417*J443/1000+2*((J416-2*J421)+(J415-2*J421))*(J417-2*J421)*J442/1000+(J415*J416)*J443/1000+(J415-2*J421)*(J416-2*J421)*J442/1000)*Lists!$AS$107/1000</f>
        <v>29.107225261070322</v>
      </c>
      <c r="K444" s="66">
        <f ca="1">(2*(K415+K416)*K417*K443/1000+2*((K416-2*K421)+(K415-2*K421))*(K417-2*K421)*K442/1000+(K415*K416)*K443/1000+(K415-2*K421)*(K416-2*K421)*K442/1000)*Lists!$AS$107/1000</f>
        <v>29.107225261070322</v>
      </c>
      <c r="L444" s="66">
        <f ca="1">(2*(L415+L416)*L417*L443/1000+2*((L416-2*L421)+(L415-2*L421))*(L417-2*L421)*L442/1000+(L415*L416)*L443/1000+(L415-2*L421)*(L416-2*L421)*L442/1000)*Lists!$AS$107/1000</f>
        <v>29.107225261070322</v>
      </c>
      <c r="M444" s="66">
        <f ca="1">(2*(M415+M416)*M417*M443/1000+2*((M416-2*M421)+(M415-2*M421))*(M417-2*M421)*M442/1000+(M415*M416)*M443/1000+(M415-2*M421)*(M416-2*M421)*M442/1000)*Lists!$AS$107/1000</f>
        <v>29.107225261070322</v>
      </c>
      <c r="N444" s="97"/>
    </row>
    <row r="445" spans="1:14" ht="15" outlineLevel="2" x14ac:dyDescent="0.15">
      <c r="A445" s="1214"/>
      <c r="B445" s="8" t="s">
        <v>626</v>
      </c>
      <c r="D445" s="379"/>
      <c r="F445" s="133"/>
      <c r="G445" s="96">
        <f t="shared" ref="G445:M445" ca="1" si="185">(((G415-2*G443)*(G416-2*G443))/100+2*((G415-G421)+(G416-G421))*(G417-2*G421)/100)/10000</f>
        <v>3.494545440909461</v>
      </c>
      <c r="H445" s="96">
        <f t="shared" ca="1" si="185"/>
        <v>3.494545440909461</v>
      </c>
      <c r="I445" s="96">
        <f t="shared" ca="1" si="185"/>
        <v>3.494545440909461</v>
      </c>
      <c r="J445" s="96">
        <f t="shared" ca="1" si="185"/>
        <v>3.494545440909461</v>
      </c>
      <c r="K445" s="96">
        <f t="shared" ca="1" si="185"/>
        <v>3.494545440909461</v>
      </c>
      <c r="L445" s="96">
        <f t="shared" ca="1" si="185"/>
        <v>3.494545440909461</v>
      </c>
      <c r="M445" s="96">
        <f t="shared" ca="1" si="185"/>
        <v>3.494545440909461</v>
      </c>
      <c r="N445" s="97"/>
    </row>
    <row r="446" spans="1:14" outlineLevel="2" x14ac:dyDescent="0.15">
      <c r="A446" s="1214"/>
      <c r="B446" s="8" t="s">
        <v>632</v>
      </c>
      <c r="D446" s="379"/>
      <c r="F446" s="133"/>
      <c r="G446" s="66">
        <f ca="1">G444+G445*G420*Lists!$AS$109</f>
        <v>30.225479802161349</v>
      </c>
      <c r="H446" s="66">
        <f ca="1">H444+H445*H420*Lists!$AS$109</f>
        <v>30.225479802161349</v>
      </c>
      <c r="I446" s="66">
        <f ca="1">I444+I445*I420*Lists!$AS$109</f>
        <v>30.225479802161349</v>
      </c>
      <c r="J446" s="66">
        <f ca="1">J444+J445*J420*Lists!$AS$109</f>
        <v>30.225479802161349</v>
      </c>
      <c r="K446" s="66">
        <f ca="1">K444+K445*K420*Lists!$AS$109</f>
        <v>30.225479802161349</v>
      </c>
      <c r="L446" s="66">
        <f ca="1">L444+L445*L420*Lists!$AS$109</f>
        <v>30.225479802161349</v>
      </c>
      <c r="M446" s="66">
        <f ca="1">M444+M445*M420*Lists!$AS$109</f>
        <v>30.225479802161349</v>
      </c>
      <c r="N446" s="97"/>
    </row>
    <row r="447" spans="1:14" outlineLevel="2" x14ac:dyDescent="0.15">
      <c r="A447" s="1214"/>
      <c r="D447" s="379"/>
      <c r="F447" s="133"/>
      <c r="G447" s="66"/>
      <c r="H447" s="66"/>
      <c r="I447" s="66"/>
      <c r="J447" s="66"/>
      <c r="K447" s="66"/>
      <c r="L447" s="66"/>
      <c r="M447" s="66"/>
      <c r="N447" s="97"/>
    </row>
    <row r="448" spans="1:14" outlineLevel="2" x14ac:dyDescent="0.15">
      <c r="A448" s="1214"/>
      <c r="B448" s="8" t="s">
        <v>633</v>
      </c>
      <c r="D448" s="379"/>
      <c r="F448" s="133"/>
      <c r="G448" s="66">
        <f t="shared" ref="G448:M448" ca="1" si="186">G438+G446</f>
        <v>76.930750468239083</v>
      </c>
      <c r="H448" s="66">
        <f t="shared" ca="1" si="186"/>
        <v>76.930750468239083</v>
      </c>
      <c r="I448" s="66">
        <f t="shared" ca="1" si="186"/>
        <v>76.930750468239083</v>
      </c>
      <c r="J448" s="66">
        <f t="shared" ca="1" si="186"/>
        <v>76.930750468239083</v>
      </c>
      <c r="K448" s="66">
        <f t="shared" ca="1" si="186"/>
        <v>76.930750468239083</v>
      </c>
      <c r="L448" s="66">
        <f t="shared" ca="1" si="186"/>
        <v>76.930750468239083</v>
      </c>
      <c r="M448" s="66">
        <f t="shared" ca="1" si="186"/>
        <v>76.930750468239083</v>
      </c>
      <c r="N448" s="97"/>
    </row>
    <row r="449" spans="1:21" outlineLevel="2" x14ac:dyDescent="0.15">
      <c r="A449" s="1214"/>
      <c r="D449" s="379"/>
      <c r="F449" s="133"/>
      <c r="G449" s="66"/>
      <c r="H449" s="66"/>
      <c r="I449" s="66"/>
      <c r="J449" s="66"/>
      <c r="K449" s="66"/>
      <c r="L449" s="66"/>
      <c r="M449" s="66"/>
      <c r="N449" s="97"/>
    </row>
    <row r="450" spans="1:21" ht="14" outlineLevel="2" x14ac:dyDescent="0.15">
      <c r="A450" s="1214"/>
      <c r="B450" s="507" t="s">
        <v>634</v>
      </c>
      <c r="D450" s="379"/>
      <c r="F450" s="133"/>
      <c r="G450" s="66"/>
      <c r="H450" s="66"/>
      <c r="I450" s="66"/>
      <c r="J450" s="66"/>
      <c r="K450" s="66"/>
      <c r="L450" s="66"/>
      <c r="M450" s="66"/>
      <c r="N450" s="340"/>
    </row>
    <row r="451" spans="1:21" outlineLevel="2" x14ac:dyDescent="0.15">
      <c r="A451" s="1214"/>
      <c r="B451" s="8" t="s">
        <v>635</v>
      </c>
      <c r="D451" s="379"/>
      <c r="G451" s="66">
        <f ca="1">BMS!G151</f>
        <v>3.6146500000000001</v>
      </c>
      <c r="H451" s="66">
        <f ca="1">BMS!H151</f>
        <v>3.6146500000000001</v>
      </c>
      <c r="I451" s="66">
        <f ca="1">BMS!I151</f>
        <v>3.6146500000000001</v>
      </c>
      <c r="J451" s="66">
        <f ca="1">BMS!J151</f>
        <v>3.6146500000000001</v>
      </c>
      <c r="K451" s="66">
        <f ca="1">BMS!K151</f>
        <v>3.6146500000000001</v>
      </c>
      <c r="L451" s="66">
        <f ca="1">BMS!L151</f>
        <v>3.6146500000000001</v>
      </c>
      <c r="M451" s="66">
        <f ca="1">BMS!M151</f>
        <v>3.6146500000000001</v>
      </c>
      <c r="N451" s="97"/>
    </row>
    <row r="452" spans="1:21" outlineLevel="2" x14ac:dyDescent="0.15">
      <c r="A452" s="1214"/>
      <c r="B452" s="8" t="s">
        <v>636</v>
      </c>
      <c r="D452" s="379"/>
      <c r="G452" s="155">
        <f t="shared" ref="G452:M452" ca="1" si="187">G415*G416*G417/1000000+G451</f>
        <v>347.60416695884248</v>
      </c>
      <c r="H452" s="155">
        <f t="shared" ca="1" si="187"/>
        <v>347.60416695884248</v>
      </c>
      <c r="I452" s="155">
        <f t="shared" ca="1" si="187"/>
        <v>347.60416695884248</v>
      </c>
      <c r="J452" s="155">
        <f t="shared" ca="1" si="187"/>
        <v>347.60416695884248</v>
      </c>
      <c r="K452" s="155">
        <f t="shared" ca="1" si="187"/>
        <v>347.60416695884248</v>
      </c>
      <c r="L452" s="155">
        <f t="shared" ca="1" si="187"/>
        <v>347.60416695884248</v>
      </c>
      <c r="M452" s="155">
        <f t="shared" ca="1" si="187"/>
        <v>347.60416695884248</v>
      </c>
      <c r="N452" s="340"/>
    </row>
    <row r="453" spans="1:21" outlineLevel="2" x14ac:dyDescent="0.15">
      <c r="A453" s="1214"/>
      <c r="B453" s="8" t="s">
        <v>637</v>
      </c>
      <c r="D453" s="379"/>
      <c r="G453" s="156">
        <f ca="1">G189*G188*Lists!$AS$101*1.3</f>
        <v>45.343252404010208</v>
      </c>
      <c r="H453" s="156">
        <f ca="1">H189*H188*Lists!$AS$101*1.3</f>
        <v>45.343252404010208</v>
      </c>
      <c r="I453" s="156">
        <f ca="1">I189*I188*Lists!$AS$101*1.3</f>
        <v>45.343252404010208</v>
      </c>
      <c r="J453" s="156">
        <f ca="1">J189*J188*Lists!$AS$101*1.3</f>
        <v>45.343252404010208</v>
      </c>
      <c r="K453" s="156">
        <f ca="1">K189*K188*Lists!$AS$101*1.3</f>
        <v>45.343252404010208</v>
      </c>
      <c r="L453" s="156">
        <f ca="1">L189*L188*Lists!$AS$101*1.3</f>
        <v>45.343252404010208</v>
      </c>
      <c r="M453" s="156">
        <f ca="1">M189*M188*Lists!$AS$101*1.3</f>
        <v>45.343252404010208</v>
      </c>
      <c r="N453" s="97"/>
    </row>
    <row r="454" spans="1:21" outlineLevel="2" x14ac:dyDescent="0.15">
      <c r="A454" s="1214"/>
      <c r="B454" s="8" t="s">
        <v>638</v>
      </c>
      <c r="D454" s="379"/>
      <c r="E454" s="46"/>
      <c r="F454" s="133"/>
      <c r="G454" s="156">
        <f ca="1">(G196*G197*G199+G204*G205*G207)*Lists!$AS$102</f>
        <v>1057.6517106008146</v>
      </c>
      <c r="H454" s="156">
        <f ca="1">(H196*H197*H199+H204*H205*H207)*Lists!$AS$102</f>
        <v>1057.6517106008146</v>
      </c>
      <c r="I454" s="156">
        <f ca="1">(I196*I197*I199+I204*I205*I207)*Lists!$AS$102</f>
        <v>1057.6517106008146</v>
      </c>
      <c r="J454" s="156">
        <f ca="1">(J196*J197*J199+J204*J205*J207)*Lists!$AS$102</f>
        <v>1057.6517106008146</v>
      </c>
      <c r="K454" s="156">
        <f ca="1">(K196*K197*K199+K204*K205*K207)*Lists!$AS$102</f>
        <v>1057.6517106008146</v>
      </c>
      <c r="L454" s="156">
        <f ca="1">(L196*L197*L199+L204*L205*L207)*Lists!$AS$102</f>
        <v>1057.6517106008146</v>
      </c>
      <c r="M454" s="156">
        <f ca="1">(M196*M197*M199+M204*M205*M207)*Lists!$AS$102</f>
        <v>1057.6517106008146</v>
      </c>
      <c r="N454" s="341"/>
    </row>
    <row r="455" spans="1:21" outlineLevel="2" x14ac:dyDescent="0.15">
      <c r="A455" s="1214"/>
      <c r="B455" s="8" t="s">
        <v>639</v>
      </c>
      <c r="D455" s="379"/>
      <c r="E455" s="46"/>
      <c r="G455" s="157">
        <f ca="1">2*(G213+2)*G212*Lists!$AS$105/0.9</f>
        <v>511.53880066439166</v>
      </c>
      <c r="H455" s="157">
        <f ca="1">2*(H213+2)*H212*Lists!$AS$105/0.9</f>
        <v>511.53880066439166</v>
      </c>
      <c r="I455" s="157">
        <f ca="1">2*(I213+2)*I212*Lists!$AS$105/0.9</f>
        <v>511.53880066439166</v>
      </c>
      <c r="J455" s="157">
        <f ca="1">2*(J213+2)*J212*Lists!$AS$105/0.9</f>
        <v>511.53880066439166</v>
      </c>
      <c r="K455" s="157">
        <f ca="1">2*(K213+2)*K212*Lists!$AS$105/0.9</f>
        <v>511.53880066439166</v>
      </c>
      <c r="L455" s="157">
        <f ca="1">2*(L213+2)*L212*Lists!$AS$105/0.9</f>
        <v>511.53880066439166</v>
      </c>
      <c r="M455" s="157">
        <f ca="1">2*(M213+2)*M212*Lists!$AS$105/0.9</f>
        <v>511.53880066439166</v>
      </c>
      <c r="N455" s="341"/>
    </row>
    <row r="456" spans="1:21" outlineLevel="2" x14ac:dyDescent="0.15">
      <c r="A456" s="1214"/>
      <c r="B456" s="8" t="s">
        <v>640</v>
      </c>
      <c r="D456" s="379"/>
      <c r="E456" s="46"/>
      <c r="G456" s="155">
        <f>IF(Dashboard!$D6=0,1,Thermal!G164/1000)</f>
        <v>1</v>
      </c>
      <c r="H456" s="155">
        <f>IF(Dashboard!$D6=0,1,Thermal!H164/1000)</f>
        <v>1</v>
      </c>
      <c r="I456" s="155">
        <f>IF(Dashboard!$D6=0,1,Thermal!I164/1000)</f>
        <v>1</v>
      </c>
      <c r="J456" s="155">
        <f>IF(Dashboard!$D6=0,1,Thermal!J164/1000)</f>
        <v>1</v>
      </c>
      <c r="K456" s="155">
        <f>IF(Dashboard!$D6=0,1,Thermal!K164/1000)</f>
        <v>1</v>
      </c>
      <c r="L456" s="155">
        <f>IF(Dashboard!$D6=0,1,Thermal!L164/1000)</f>
        <v>1</v>
      </c>
      <c r="M456" s="155">
        <f>IF(Dashboard!$D6=0,1,Thermal!M164/1000)</f>
        <v>1</v>
      </c>
      <c r="N456" s="562"/>
      <c r="O456" s="341"/>
    </row>
    <row r="457" spans="1:21" outlineLevel="2" x14ac:dyDescent="0.15">
      <c r="A457" s="1214"/>
      <c r="B457" s="8" t="s">
        <v>641</v>
      </c>
      <c r="D457" s="379"/>
      <c r="G457" s="158">
        <f t="shared" ref="G457:M457" si="188">G456*0.2</f>
        <v>0.2</v>
      </c>
      <c r="H457" s="158">
        <f t="shared" si="188"/>
        <v>0.2</v>
      </c>
      <c r="I457" s="158">
        <f t="shared" si="188"/>
        <v>0.2</v>
      </c>
      <c r="J457" s="158">
        <f t="shared" si="188"/>
        <v>0.2</v>
      </c>
      <c r="K457" s="158">
        <f t="shared" si="188"/>
        <v>0.2</v>
      </c>
      <c r="L457" s="158">
        <f t="shared" si="188"/>
        <v>0.2</v>
      </c>
      <c r="M457" s="158">
        <f t="shared" si="188"/>
        <v>0.2</v>
      </c>
      <c r="N457" s="339"/>
      <c r="O457" s="11"/>
    </row>
    <row r="458" spans="1:21" outlineLevel="2" x14ac:dyDescent="0.15">
      <c r="A458" s="1214"/>
      <c r="B458" s="8" t="s">
        <v>642</v>
      </c>
      <c r="D458" s="379"/>
      <c r="E458" s="46"/>
      <c r="G458" s="155">
        <f ca="1">G448+(G453*G191+G454+G455)/1000+G457</f>
        <v>79.788179037200536</v>
      </c>
      <c r="H458" s="155">
        <f t="shared" ref="H458:M458" ca="1" si="189">H448+(H453*H191+H454+H455)/1000+H457</f>
        <v>79.788179037200536</v>
      </c>
      <c r="I458" s="155">
        <f t="shared" ca="1" si="189"/>
        <v>79.788179037200536</v>
      </c>
      <c r="J458" s="155">
        <f t="shared" ca="1" si="189"/>
        <v>79.788179037200536</v>
      </c>
      <c r="K458" s="155">
        <f t="shared" ca="1" si="189"/>
        <v>79.788179037200536</v>
      </c>
      <c r="L458" s="155">
        <f t="shared" ca="1" si="189"/>
        <v>79.788179037200536</v>
      </c>
      <c r="M458" s="155">
        <f t="shared" ca="1" si="189"/>
        <v>79.788179037200536</v>
      </c>
      <c r="N458" s="1087"/>
      <c r="O458" s="11"/>
    </row>
    <row r="459" spans="1:21" outlineLevel="2" x14ac:dyDescent="0.15">
      <c r="A459" s="1214"/>
      <c r="B459" s="8" t="s">
        <v>643</v>
      </c>
      <c r="D459" s="379"/>
      <c r="E459" s="46"/>
      <c r="G459" s="66">
        <f ca="1">BMS!G142</f>
        <v>3.5776000000000003</v>
      </c>
      <c r="H459" s="66">
        <f ca="1">BMS!H142</f>
        <v>3.5776000000000003</v>
      </c>
      <c r="I459" s="66">
        <f ca="1">BMS!I142</f>
        <v>3.5776000000000003</v>
      </c>
      <c r="J459" s="66">
        <f ca="1">BMS!J142</f>
        <v>3.5776000000000003</v>
      </c>
      <c r="K459" s="66">
        <f ca="1">BMS!K142</f>
        <v>3.5776000000000003</v>
      </c>
      <c r="L459" s="66">
        <f ca="1">BMS!L142</f>
        <v>3.5776000000000003</v>
      </c>
      <c r="M459" s="66">
        <f ca="1">BMS!M142</f>
        <v>3.5776000000000003</v>
      </c>
      <c r="N459" s="97"/>
    </row>
    <row r="460" spans="1:21" outlineLevel="2" x14ac:dyDescent="0.15">
      <c r="A460" s="1214"/>
      <c r="B460" s="8" t="s">
        <v>644</v>
      </c>
      <c r="D460" s="379"/>
      <c r="E460" s="46"/>
      <c r="G460" s="155">
        <f t="shared" ref="G460:M460" ca="1" si="190">G29*G358+G28*G394+G412+G458+G459</f>
        <v>581.94758955313546</v>
      </c>
      <c r="H460" s="155">
        <f t="shared" ca="1" si="190"/>
        <v>581.94758955313546</v>
      </c>
      <c r="I460" s="155">
        <f t="shared" ca="1" si="190"/>
        <v>581.94758955313546</v>
      </c>
      <c r="J460" s="155">
        <f t="shared" ca="1" si="190"/>
        <v>581.94758955313546</v>
      </c>
      <c r="K460" s="155">
        <f t="shared" ca="1" si="190"/>
        <v>581.94758955313546</v>
      </c>
      <c r="L460" s="155">
        <f t="shared" ca="1" si="190"/>
        <v>581.94758955313546</v>
      </c>
      <c r="M460" s="155">
        <f t="shared" ca="1" si="190"/>
        <v>581.94758955313546</v>
      </c>
      <c r="N460" s="96"/>
      <c r="O460" s="155"/>
      <c r="P460" s="155"/>
      <c r="Q460" s="155"/>
      <c r="R460" s="155"/>
      <c r="S460" s="155"/>
      <c r="T460" s="155"/>
      <c r="U460" s="155"/>
    </row>
    <row r="461" spans="1:21" outlineLevel="2" x14ac:dyDescent="0.15">
      <c r="A461" s="1214"/>
      <c r="B461" s="8" t="s">
        <v>645</v>
      </c>
      <c r="D461" s="379"/>
      <c r="E461" s="46"/>
      <c r="G461" s="155">
        <f t="shared" ref="G461:M461" ca="1" si="191">G452*G12</f>
        <v>347.60416695884248</v>
      </c>
      <c r="H461" s="155">
        <f t="shared" ca="1" si="191"/>
        <v>347.60416695884248</v>
      </c>
      <c r="I461" s="155">
        <f t="shared" ca="1" si="191"/>
        <v>347.60416695884248</v>
      </c>
      <c r="J461" s="155">
        <f t="shared" ca="1" si="191"/>
        <v>347.60416695884248</v>
      </c>
      <c r="K461" s="155">
        <f t="shared" ca="1" si="191"/>
        <v>347.60416695884248</v>
      </c>
      <c r="L461" s="155">
        <f t="shared" ca="1" si="191"/>
        <v>347.60416695884248</v>
      </c>
      <c r="M461" s="155">
        <f t="shared" ca="1" si="191"/>
        <v>347.60416695884248</v>
      </c>
      <c r="N461" s="1087"/>
      <c r="O461" s="89"/>
      <c r="P461" s="89"/>
      <c r="Q461" s="89"/>
      <c r="R461" s="89"/>
      <c r="S461" s="89"/>
      <c r="T461" s="89"/>
      <c r="U461" s="89"/>
    </row>
    <row r="462" spans="1:21" outlineLevel="2" x14ac:dyDescent="0.15">
      <c r="A462" s="1214"/>
      <c r="B462" s="8" t="s">
        <v>646</v>
      </c>
      <c r="D462" s="379"/>
      <c r="E462" s="46"/>
      <c r="G462" s="158">
        <f ca="1">G460*'Battery Design'!G12</f>
        <v>581.94758955313546</v>
      </c>
      <c r="H462" s="158">
        <f ca="1">H460*'Battery Design'!H12</f>
        <v>581.94758955313546</v>
      </c>
      <c r="I462" s="158">
        <f ca="1">I460*'Battery Design'!I12</f>
        <v>581.94758955313546</v>
      </c>
      <c r="J462" s="158">
        <f ca="1">J460*'Battery Design'!J12</f>
        <v>581.94758955313546</v>
      </c>
      <c r="K462" s="158">
        <f ca="1">K460*'Battery Design'!K12</f>
        <v>581.94758955313546</v>
      </c>
      <c r="L462" s="158">
        <f ca="1">L460*'Battery Design'!L12</f>
        <v>581.94758955313546</v>
      </c>
      <c r="M462" s="158">
        <f ca="1">M460*'Battery Design'!M12</f>
        <v>581.94758955313546</v>
      </c>
      <c r="N462" s="66"/>
    </row>
    <row r="463" spans="1:21" outlineLevel="2" x14ac:dyDescent="0.15">
      <c r="A463" s="1214"/>
      <c r="D463" s="379"/>
      <c r="E463" s="46"/>
      <c r="G463" s="158"/>
      <c r="H463" s="158"/>
      <c r="I463" s="158"/>
      <c r="J463" s="158"/>
      <c r="K463" s="158"/>
      <c r="L463" s="158"/>
      <c r="M463" s="158"/>
      <c r="N463" s="66"/>
    </row>
    <row r="464" spans="1:21" ht="16" outlineLevel="2" x14ac:dyDescent="0.2">
      <c r="A464" s="1214"/>
      <c r="B464" s="5" t="s">
        <v>647</v>
      </c>
      <c r="E464" s="46"/>
      <c r="G464" s="159"/>
      <c r="H464" s="159"/>
      <c r="I464" s="159"/>
      <c r="J464" s="159"/>
      <c r="K464" s="159"/>
      <c r="L464" s="159"/>
      <c r="M464" s="159"/>
      <c r="N464" s="66"/>
    </row>
    <row r="465" spans="1:23" outlineLevel="2" x14ac:dyDescent="0.15">
      <c r="A465" s="1214"/>
      <c r="B465" s="8" t="s">
        <v>648</v>
      </c>
      <c r="E465" s="46"/>
      <c r="G465" s="156">
        <f ca="1">(Thermal!G74)*'Battery Design'!G12</f>
        <v>553.1455757926451</v>
      </c>
      <c r="H465" s="156">
        <f ca="1">(Thermal!H74)*'Battery Design'!H12</f>
        <v>553.1455757926451</v>
      </c>
      <c r="I465" s="156">
        <f ca="1">(Thermal!I74)*'Battery Design'!I12</f>
        <v>553.1455757926451</v>
      </c>
      <c r="J465" s="156">
        <f ca="1">(Thermal!J74)*'Battery Design'!J12</f>
        <v>553.1455757926451</v>
      </c>
      <c r="K465" s="156">
        <f ca="1">(Thermal!K74)*'Battery Design'!K12</f>
        <v>553.1455757926451</v>
      </c>
      <c r="L465" s="156">
        <f ca="1">(Thermal!L74)*'Battery Design'!L12</f>
        <v>553.1455757926451</v>
      </c>
      <c r="M465" s="156">
        <f ca="1">(Thermal!M74)*'Battery Design'!M12</f>
        <v>553.1455757926451</v>
      </c>
      <c r="N465" s="823"/>
    </row>
    <row r="466" spans="1:23" outlineLevel="2" x14ac:dyDescent="0.15">
      <c r="A466" s="1214"/>
      <c r="B466" s="8" t="s">
        <v>649</v>
      </c>
      <c r="E466" s="46"/>
      <c r="G466" s="158" t="str">
        <f ca="1">Thermal!G153</f>
        <v>Refrig 2</v>
      </c>
      <c r="H466" s="158" t="str">
        <f ca="1">Thermal!H153</f>
        <v>Refrig 2</v>
      </c>
      <c r="I466" s="158" t="str">
        <f ca="1">Thermal!I153</f>
        <v>Refrig 2</v>
      </c>
      <c r="J466" s="158" t="str">
        <f ca="1">Thermal!J153</f>
        <v>Refrig 2</v>
      </c>
      <c r="K466" s="158" t="str">
        <f ca="1">Thermal!K153</f>
        <v>Refrig 2</v>
      </c>
      <c r="L466" s="158" t="str">
        <f ca="1">Thermal!L153</f>
        <v>Refrig 2</v>
      </c>
      <c r="M466" s="158" t="str">
        <f ca="1">Thermal!M153</f>
        <v>Refrig 2</v>
      </c>
      <c r="N466" s="15"/>
    </row>
    <row r="467" spans="1:23" outlineLevel="2" x14ac:dyDescent="0.15">
      <c r="A467" s="1214"/>
      <c r="B467" s="8" t="s">
        <v>650</v>
      </c>
      <c r="E467" s="46"/>
      <c r="G467" s="155">
        <f ca="1">INDEX(Thermal!$D$181:$D$184, MATCH(Thermal!G153, Thermal!$B$181:$B$184, 0))*('Battery Design'!G12)^0.5</f>
        <v>3</v>
      </c>
      <c r="H467" s="155">
        <f ca="1">INDEX(Thermal!$D$181:$D$184, MATCH(Thermal!H153, Thermal!$B$181:$B$184, 0))*('Battery Design'!H12)^0.5</f>
        <v>3</v>
      </c>
      <c r="I467" s="155">
        <f ca="1">INDEX(Thermal!$D$181:$D$184, MATCH(Thermal!I153, Thermal!$B$181:$B$184, 0))*('Battery Design'!I12)^0.5</f>
        <v>3</v>
      </c>
      <c r="J467" s="155">
        <f ca="1">INDEX(Thermal!$D$181:$D$184, MATCH(Thermal!J153, Thermal!$B$181:$B$184, 0))*('Battery Design'!J12)^0.5</f>
        <v>3</v>
      </c>
      <c r="K467" s="155">
        <f ca="1">INDEX(Thermal!$D$181:$D$184, MATCH(Thermal!K153, Thermal!$B$181:$B$184, 0))*('Battery Design'!K12)^0.5</f>
        <v>3</v>
      </c>
      <c r="L467" s="155">
        <f ca="1">INDEX(Thermal!$D$181:$D$184, MATCH(Thermal!L153, Thermal!$B$181:$B$184, 0))*('Battery Design'!L12)^0.5</f>
        <v>3</v>
      </c>
      <c r="M467" s="155">
        <f ca="1">INDEX(Thermal!$D$181:$D$184, MATCH(Thermal!M153, Thermal!$B$181:$B$184, 0))*('Battery Design'!M12)^0.5</f>
        <v>3</v>
      </c>
      <c r="N467" s="66"/>
    </row>
    <row r="468" spans="1:23" outlineLevel="2" x14ac:dyDescent="0.15">
      <c r="A468" s="1214"/>
      <c r="B468" s="8" t="s">
        <v>651</v>
      </c>
      <c r="E468" s="46"/>
      <c r="G468" s="155">
        <f ca="1">INDEX(Thermal!$E$181:$E$184, MATCH(Thermal!G153, Thermal!$B$181:$B$184, 0))*('Battery Design'!G12)^0.5</f>
        <v>1.2</v>
      </c>
      <c r="H468" s="155">
        <f ca="1">INDEX(Thermal!$E$181:$E$184, MATCH(Thermal!H153, Thermal!$B$181:$B$184, 0))*('Battery Design'!H12)^0.5</f>
        <v>1.2</v>
      </c>
      <c r="I468" s="155">
        <f ca="1">INDEX(Thermal!$E$181:$E$184, MATCH(Thermal!I153, Thermal!$B$181:$B$184, 0))*('Battery Design'!I12)^0.5</f>
        <v>1.2</v>
      </c>
      <c r="J468" s="155">
        <f ca="1">INDEX(Thermal!$E$181:$E$184, MATCH(Thermal!J153, Thermal!$B$181:$B$184, 0))*('Battery Design'!J12)^0.5</f>
        <v>1.2</v>
      </c>
      <c r="K468" s="155">
        <f ca="1">INDEX(Thermal!$E$181:$E$184, MATCH(Thermal!K153, Thermal!$B$181:$B$184, 0))*('Battery Design'!K12)^0.5</f>
        <v>1.2</v>
      </c>
      <c r="L468" s="155">
        <f ca="1">INDEX(Thermal!$E$181:$E$184, MATCH(Thermal!L153, Thermal!$B$181:$B$184, 0))*('Battery Design'!L12)^0.5</f>
        <v>1.2</v>
      </c>
      <c r="M468" s="155">
        <f ca="1">INDEX(Thermal!$E$181:$E$184, MATCH(Thermal!M153, Thermal!$B$181:$B$184, 0))*('Battery Design'!M12)^0.5</f>
        <v>1.2</v>
      </c>
      <c r="N468" s="66"/>
    </row>
    <row r="469" spans="1:23" x14ac:dyDescent="0.15">
      <c r="A469" s="1214"/>
      <c r="E469" s="46"/>
      <c r="G469" s="155"/>
      <c r="H469" s="155"/>
      <c r="I469" s="155"/>
      <c r="J469" s="155"/>
      <c r="K469" s="155"/>
      <c r="L469" s="155"/>
      <c r="M469" s="155"/>
      <c r="N469" s="66"/>
    </row>
    <row r="470" spans="1:23" ht="16" x14ac:dyDescent="0.2">
      <c r="A470" s="1214"/>
      <c r="B470" s="5" t="s">
        <v>652</v>
      </c>
      <c r="E470" s="46"/>
      <c r="F470" s="46"/>
      <c r="G470" s="155"/>
      <c r="H470" s="155"/>
      <c r="I470" s="155"/>
      <c r="J470" s="155"/>
      <c r="K470" s="155"/>
      <c r="L470" s="155"/>
      <c r="M470" s="155"/>
      <c r="N470" s="11"/>
      <c r="O470" s="68"/>
    </row>
    <row r="471" spans="1:23" x14ac:dyDescent="0.15">
      <c r="A471" s="1214"/>
      <c r="B471" s="8" t="s">
        <v>653</v>
      </c>
      <c r="E471" s="46"/>
      <c r="F471" s="46"/>
      <c r="G471" s="92">
        <v>250</v>
      </c>
      <c r="H471" s="92">
        <v>250</v>
      </c>
      <c r="I471" s="92">
        <v>250</v>
      </c>
      <c r="J471" s="92">
        <v>250</v>
      </c>
      <c r="K471" s="92">
        <v>250</v>
      </c>
      <c r="L471" s="92">
        <v>250</v>
      </c>
      <c r="M471" s="92">
        <v>250</v>
      </c>
      <c r="N471" s="15"/>
    </row>
    <row r="472" spans="1:23" x14ac:dyDescent="0.15">
      <c r="A472" s="1214"/>
      <c r="B472" s="8" t="s">
        <v>654</v>
      </c>
      <c r="E472" s="46"/>
      <c r="G472" s="66">
        <f>(G471/'Battery Design'!G12)</f>
        <v>250</v>
      </c>
      <c r="H472" s="66">
        <f>(H471/'Battery Design'!H12)</f>
        <v>250</v>
      </c>
      <c r="I472" s="66">
        <f>(I471/'Battery Design'!I12)</f>
        <v>250</v>
      </c>
      <c r="J472" s="66">
        <f>(J471/'Battery Design'!J12)</f>
        <v>250</v>
      </c>
      <c r="K472" s="66">
        <f>(K471/'Battery Design'!K12)</f>
        <v>250</v>
      </c>
      <c r="L472" s="66">
        <f>(L471/'Battery Design'!L12)</f>
        <v>250</v>
      </c>
      <c r="M472" s="66">
        <f>(M471/'Battery Design'!M12)</f>
        <v>250</v>
      </c>
      <c r="N472" s="66"/>
    </row>
    <row r="473" spans="1:23" x14ac:dyDescent="0.15">
      <c r="A473" s="1214"/>
      <c r="B473" s="8" t="s">
        <v>655</v>
      </c>
      <c r="G473" s="175">
        <f>Dashboard!$I$36</f>
        <v>85</v>
      </c>
      <c r="H473" s="175">
        <f>Dashboard!$I$36</f>
        <v>85</v>
      </c>
      <c r="I473" s="175">
        <f>Dashboard!$I$36</f>
        <v>85</v>
      </c>
      <c r="J473" s="175">
        <f>Dashboard!$I$36</f>
        <v>85</v>
      </c>
      <c r="K473" s="175">
        <f>Dashboard!$I$36</f>
        <v>85</v>
      </c>
      <c r="L473" s="175">
        <f>Dashboard!$I$36</f>
        <v>85</v>
      </c>
      <c r="M473" s="175">
        <f>Dashboard!$I$36</f>
        <v>85</v>
      </c>
      <c r="N473" s="66"/>
      <c r="T473" s="1316"/>
      <c r="U473" s="1316"/>
      <c r="V473" s="1316"/>
      <c r="W473" s="1316"/>
    </row>
    <row r="474" spans="1:23" x14ac:dyDescent="0.15">
      <c r="A474" s="1214"/>
      <c r="B474" s="8" t="s">
        <v>656</v>
      </c>
      <c r="G474" s="15">
        <f t="shared" ref="G474:M474" ca="1" si="192">G362*G473/100/G472*1000</f>
        <v>340.00000000006031</v>
      </c>
      <c r="H474" s="15">
        <f t="shared" ca="1" si="192"/>
        <v>340.00000000006031</v>
      </c>
      <c r="I474" s="15">
        <f t="shared" ca="1" si="192"/>
        <v>340.00000000006031</v>
      </c>
      <c r="J474" s="15">
        <f t="shared" ca="1" si="192"/>
        <v>340.00000000006031</v>
      </c>
      <c r="K474" s="15">
        <f t="shared" ca="1" si="192"/>
        <v>340.00000000006031</v>
      </c>
      <c r="L474" s="15">
        <f t="shared" ca="1" si="192"/>
        <v>340.00000000006031</v>
      </c>
      <c r="M474" s="15">
        <f t="shared" ca="1" si="192"/>
        <v>340.00000000006031</v>
      </c>
      <c r="N474" s="66"/>
      <c r="R474" s="11"/>
      <c r="S474" s="11"/>
      <c r="T474" s="11"/>
      <c r="U474" s="11"/>
    </row>
    <row r="475" spans="1:23" x14ac:dyDescent="0.15">
      <c r="A475" s="1214"/>
      <c r="G475" s="15"/>
      <c r="H475" s="15"/>
      <c r="I475" s="15"/>
      <c r="J475" s="15"/>
      <c r="K475" s="15"/>
      <c r="L475" s="15"/>
      <c r="M475" s="15"/>
      <c r="N475" s="66"/>
      <c r="R475" s="11"/>
      <c r="S475" s="11"/>
      <c r="T475" s="11"/>
      <c r="U475" s="11"/>
    </row>
    <row r="476" spans="1:23" ht="16" x14ac:dyDescent="0.2">
      <c r="A476" s="1214"/>
      <c r="B476" s="5" t="s">
        <v>657</v>
      </c>
      <c r="F476" s="79" t="str">
        <f>IF(OR(G476="x",H476="x",I476="x",J476="x",K476="x",L476="x",M476="x"),"Inadequate capacity if X"," ")</f>
        <v xml:space="preserve"> </v>
      </c>
      <c r="G476" s="131"/>
      <c r="H476" s="131"/>
      <c r="I476" s="131"/>
      <c r="J476" s="131"/>
      <c r="K476" s="131"/>
      <c r="L476" s="131"/>
      <c r="M476" s="131"/>
      <c r="N476" s="11"/>
      <c r="R476" s="11"/>
      <c r="S476" s="11"/>
      <c r="T476" s="11"/>
      <c r="U476" s="11"/>
    </row>
    <row r="477" spans="1:23" x14ac:dyDescent="0.15">
      <c r="A477" s="1214"/>
      <c r="B477" s="8" t="s">
        <v>658</v>
      </c>
      <c r="G477" s="66">
        <f ca="1">IF(Dashboard!D53&gt;0,Dashboard!D53,IF(Dashboard!D54&gt;0,Dashboard!D54*1000/G31*G26*G30/G155))</f>
        <v>269.93000766437774</v>
      </c>
      <c r="H477" s="66">
        <f ca="1">IF(Dashboard!E53&gt;0,Dashboard!E53,IF(Dashboard!E54&gt;0,Dashboard!E54*1000/H31*H26*H30/H155))</f>
        <v>269.93000766437774</v>
      </c>
      <c r="I477" s="66">
        <f ca="1">IF(Dashboard!F53&gt;0,Dashboard!F53,IF(Dashboard!F54&gt;0,Dashboard!F54*1000/I31*I26*I30/I155))</f>
        <v>269.93000766437774</v>
      </c>
      <c r="J477" s="66">
        <f ca="1">IF(Dashboard!G53&gt;0,Dashboard!G53,IF(Dashboard!G54&gt;0,Dashboard!G54*1000/J31*J26*J30/J155))</f>
        <v>269.93000766437774</v>
      </c>
      <c r="K477" s="66">
        <f ca="1">IF(Dashboard!H53&gt;0,Dashboard!H53,IF(Dashboard!H54&gt;0,Dashboard!H54*1000/K31*K26*K30/K155))</f>
        <v>269.93000766437774</v>
      </c>
      <c r="L477" s="66">
        <f ca="1">IF(Dashboard!I53&gt;0,Dashboard!I53,IF(Dashboard!I54&gt;0,Dashboard!I54*1000/L31*L26*L30/L155))</f>
        <v>269.93000766437774</v>
      </c>
      <c r="M477" s="66">
        <f ca="1">IF(Dashboard!J53&gt;0,Dashboard!J53,IF(Dashboard!J54&gt;0,Dashboard!J54*1000/M31*M26*M30/M155))</f>
        <v>269.93000766437774</v>
      </c>
      <c r="N477" s="11"/>
      <c r="O477" s="9"/>
      <c r="Q477" s="11"/>
      <c r="R477" s="11"/>
      <c r="S477" s="11"/>
      <c r="T477" s="11"/>
      <c r="U477" s="11"/>
    </row>
    <row r="478" spans="1:23" x14ac:dyDescent="0.15">
      <c r="A478" s="1214"/>
      <c r="B478" s="8" t="s">
        <v>168</v>
      </c>
      <c r="G478" s="66">
        <f ca="1">IF(Dashboard!$D6=0,G477,IF(Dashboard!D53&gt;0,Dashboard!D53,IF(Dashboard!D54&gt;0,IF(G362=Dashboard!D54,G479,G479-G480*(G362-Dashboard!D54)/Dashboard!D54),0)))</f>
        <v>271.75885298472832</v>
      </c>
      <c r="H478" s="66">
        <f ca="1">IF(Dashboard!$D6=0,H477,IF(Dashboard!E53&gt;0,Dashboard!E53,IF(Dashboard!E54&gt;0,IF(H362=Dashboard!E54,H479,H479-H480*(H362-Dashboard!E54)/Dashboard!E54),0)))</f>
        <v>271.75885298472832</v>
      </c>
      <c r="I478" s="66">
        <f ca="1">IF(Dashboard!$D6=0,I477,IF(Dashboard!F53&gt;0,Dashboard!F53,IF(Dashboard!F54&gt;0,IF(I362=Dashboard!F54,I479,I479-I480*(I362-Dashboard!F54)/Dashboard!F54),0)))</f>
        <v>271.75885298472832</v>
      </c>
      <c r="J478" s="66">
        <f ca="1">IF(Dashboard!$D6=0,J477,IF(Dashboard!G53&gt;0,Dashboard!G53,IF(Dashboard!G54&gt;0,IF(J362=Dashboard!G54,J479,J479-J480*(J362-Dashboard!G54)/Dashboard!G54),0)))</f>
        <v>271.75885298472832</v>
      </c>
      <c r="K478" s="66">
        <f ca="1">IF(Dashboard!$D6=0,K477,IF(Dashboard!H53&gt;0,Dashboard!H53,IF(Dashboard!H54&gt;0,IF(K362=Dashboard!H54,K479,K479-K480*(K362-Dashboard!H54)/Dashboard!H54),0)))</f>
        <v>271.75885298472832</v>
      </c>
      <c r="L478" s="66">
        <f ca="1">IF(Dashboard!$D6=0,L477,IF(Dashboard!I53&gt;0,Dashboard!I53,IF(Dashboard!I54&gt;0,IF(L362=Dashboard!I54,L479,L479-L480*(L362-Dashboard!I54)/Dashboard!I54),0)))</f>
        <v>271.75885298472832</v>
      </c>
      <c r="M478" s="66">
        <f ca="1">IF(Dashboard!$D6=0,M477,IF(Dashboard!J53&gt;0,Dashboard!J53,IF(Dashboard!J54&gt;0,IF(M362=Dashboard!J54,M479,M479-M480*(M362-Dashboard!J54)/Dashboard!J54),0)))</f>
        <v>271.75885298472832</v>
      </c>
      <c r="N478" s="11"/>
      <c r="O478" s="11"/>
      <c r="P478" s="11"/>
      <c r="Q478" s="11"/>
    </row>
    <row r="479" spans="1:23" x14ac:dyDescent="0.15">
      <c r="A479" s="1214"/>
      <c r="B479" s="8" t="s">
        <v>659</v>
      </c>
      <c r="G479" s="66">
        <f t="shared" ref="G479:M479" ca="1" si="193">G478</f>
        <v>271.75885298472832</v>
      </c>
      <c r="H479" s="66">
        <f t="shared" ca="1" si="193"/>
        <v>271.75885298472832</v>
      </c>
      <c r="I479" s="66">
        <f t="shared" ca="1" si="193"/>
        <v>271.75885298472832</v>
      </c>
      <c r="J479" s="66">
        <f t="shared" ca="1" si="193"/>
        <v>271.75885298472832</v>
      </c>
      <c r="K479" s="66">
        <f t="shared" ca="1" si="193"/>
        <v>271.75885298472832</v>
      </c>
      <c r="L479" s="66">
        <f t="shared" ca="1" si="193"/>
        <v>271.75885298472832</v>
      </c>
      <c r="M479" s="66">
        <f t="shared" ca="1" si="193"/>
        <v>271.75885298472832</v>
      </c>
      <c r="N479" s="11"/>
      <c r="O479" s="11"/>
      <c r="P479" s="11"/>
      <c r="Q479" s="11"/>
    </row>
    <row r="480" spans="1:23" x14ac:dyDescent="0.15">
      <c r="A480" s="1214"/>
      <c r="B480" s="8" t="s">
        <v>660</v>
      </c>
      <c r="G480" s="92">
        <f t="shared" ref="G480:M480" ca="1" si="194">G477*0.5</f>
        <v>134.96500383218887</v>
      </c>
      <c r="H480" s="92">
        <f t="shared" ca="1" si="194"/>
        <v>134.96500383218887</v>
      </c>
      <c r="I480" s="92">
        <f t="shared" ca="1" si="194"/>
        <v>134.96500383218887</v>
      </c>
      <c r="J480" s="92">
        <f t="shared" ca="1" si="194"/>
        <v>134.96500383218887</v>
      </c>
      <c r="K480" s="92">
        <f t="shared" ca="1" si="194"/>
        <v>134.96500383218887</v>
      </c>
      <c r="L480" s="92">
        <f t="shared" ca="1" si="194"/>
        <v>134.96500383218887</v>
      </c>
      <c r="M480" s="92">
        <f t="shared" ca="1" si="194"/>
        <v>134.96500383218887</v>
      </c>
      <c r="N480" s="823"/>
      <c r="O480" s="11"/>
      <c r="P480" s="11"/>
    </row>
    <row r="481" spans="1:22" x14ac:dyDescent="0.15">
      <c r="A481" s="1214"/>
      <c r="B481" s="8" t="s">
        <v>233</v>
      </c>
      <c r="G481" s="15">
        <f ca="1">IF(Dashboard!$D6=0,G279,IF(ABS(G282-G482)&lt;0.01,G482,G482+G483*(G282-G482)))</f>
        <v>119.99190881657221</v>
      </c>
      <c r="H481" s="15">
        <f ca="1">IF(Dashboard!$D6=0,H279,IF(ABS(H282-H482)&lt;0.01,H482,H482+H483*(H282-H482)))</f>
        <v>119.99190881657221</v>
      </c>
      <c r="I481" s="15">
        <f ca="1">IF(Dashboard!$D6=0,I279,IF(ABS(I282-I482)&lt;0.01,I482,I482+I483*(I282-I482)))</f>
        <v>119.99190881657221</v>
      </c>
      <c r="J481" s="15">
        <f ca="1">IF(Dashboard!$D6=0,J279,IF(ABS(J282-J482)&lt;0.01,J482,J482+J483*(J282-J482)))</f>
        <v>119.99190881657221</v>
      </c>
      <c r="K481" s="15">
        <f ca="1">IF(Dashboard!$D6=0,K279,IF(ABS(K282-K482)&lt;0.01,K482,K482+K483*(K282-K482)))</f>
        <v>119.99190881657221</v>
      </c>
      <c r="L481" s="15">
        <f ca="1">IF(Dashboard!$D6=0,L279,IF(ABS(L282-L482)&lt;0.01,L482,L482+L483*(L282-L482)))</f>
        <v>119.99190881657221</v>
      </c>
      <c r="M481" s="15">
        <f ca="1">IF(Dashboard!$D6=0,M279,IF(ABS(M282-M482)&lt;0.01,M482,M482+M483*(M282-M482)))</f>
        <v>119.99190881657221</v>
      </c>
      <c r="N481" s="66"/>
      <c r="R481" s="177"/>
      <c r="S481" s="177"/>
      <c r="T481" s="177"/>
      <c r="U481" s="177"/>
      <c r="V481" s="177"/>
    </row>
    <row r="482" spans="1:22" x14ac:dyDescent="0.15">
      <c r="A482" s="1214"/>
      <c r="B482" s="8" t="s">
        <v>661</v>
      </c>
      <c r="G482" s="15">
        <f t="shared" ref="G482:M482" ca="1" si="195">G481</f>
        <v>119.99190881657221</v>
      </c>
      <c r="H482" s="15">
        <f t="shared" ca="1" si="195"/>
        <v>119.99190881657221</v>
      </c>
      <c r="I482" s="15">
        <f t="shared" ca="1" si="195"/>
        <v>119.99190881657221</v>
      </c>
      <c r="J482" s="15">
        <f t="shared" ca="1" si="195"/>
        <v>119.99190881657221</v>
      </c>
      <c r="K482" s="15">
        <f t="shared" ca="1" si="195"/>
        <v>119.99190881657221</v>
      </c>
      <c r="L482" s="15">
        <f t="shared" ca="1" si="195"/>
        <v>119.99190881657221</v>
      </c>
      <c r="M482" s="15">
        <f t="shared" ca="1" si="195"/>
        <v>119.99190881657221</v>
      </c>
      <c r="N482" s="66"/>
    </row>
    <row r="483" spans="1:22" x14ac:dyDescent="0.15">
      <c r="A483" s="1214"/>
      <c r="B483" s="8" t="s">
        <v>662</v>
      </c>
      <c r="G483" s="741">
        <f t="shared" ref="G483:M483" ca="1" si="196">(1-G370/G220)</f>
        <v>0.82143405377246625</v>
      </c>
      <c r="H483" s="741">
        <f t="shared" ca="1" si="196"/>
        <v>0.82143405377246625</v>
      </c>
      <c r="I483" s="741">
        <f t="shared" ca="1" si="196"/>
        <v>0.82143405377246625</v>
      </c>
      <c r="J483" s="741">
        <f t="shared" ca="1" si="196"/>
        <v>0.82143405377246625</v>
      </c>
      <c r="K483" s="741">
        <f t="shared" ca="1" si="196"/>
        <v>0.82143405377246625</v>
      </c>
      <c r="L483" s="741">
        <f t="shared" ca="1" si="196"/>
        <v>0.82143405377246625</v>
      </c>
      <c r="M483" s="741">
        <f t="shared" ca="1" si="196"/>
        <v>0.82143405377246625</v>
      </c>
      <c r="N483" s="66"/>
      <c r="O483" s="66"/>
      <c r="Q483" s="177"/>
    </row>
    <row r="484" spans="1:22" x14ac:dyDescent="0.15">
      <c r="A484" s="1214"/>
      <c r="B484" s="8" t="s">
        <v>663</v>
      </c>
      <c r="G484" s="10">
        <f ca="1">IF(Dashboard!$D6=0,0,IF(ABS(G485)&gt;(G86-2*G78/1000)/G302/2,0,IF(ABS(ROUND(G302,0)-G302)&lt;0.01,G485,G485+G486*(ROUND(G302,0)-G302))))</f>
        <v>0.13412791856794112</v>
      </c>
      <c r="H484" s="10">
        <f ca="1">IF(Dashboard!$D6=0,0,IF(ABS(H485)&gt;(H86-2*H78/1000)/H302/2,0,IF(ABS(ROUND(H302,0)-H302)&lt;0.01,H485,H485+H486*(ROUND(H302,0)-H302))))</f>
        <v>0.13412791856794112</v>
      </c>
      <c r="I484" s="10">
        <f ca="1">IF(Dashboard!$D6=0,0,IF(ABS(I485)&gt;(I86-2*I78/1000)/I302/2,0,IF(ABS(ROUND(I302,0)-I302)&lt;0.01,I485,I485+I486*(ROUND(I302,0)-I302))))</f>
        <v>0.13412791856794112</v>
      </c>
      <c r="J484" s="10">
        <f ca="1">IF(Dashboard!$D6=0,0,IF(ABS(J485)&gt;(J86-2*J78/1000)/J302/2,0,IF(ABS(ROUND(J302,0)-J302)&lt;0.01,J485,J485+J486*(ROUND(J302,0)-J302))))</f>
        <v>0.13412791856794112</v>
      </c>
      <c r="K484" s="10">
        <f ca="1">IF(Dashboard!$D6=0,0,IF(ABS(K485)&gt;(K86-2*K78/1000)/K302/2,0,IF(ABS(ROUND(K302,0)-K302)&lt;0.01,K485,K485+K486*(ROUND(K302,0)-K302))))</f>
        <v>0.13412791856794112</v>
      </c>
      <c r="L484" s="10">
        <f ca="1">IF(Dashboard!$D6=0,0,IF(ABS(L485)&gt;(L86-2*L78/1000)/L302/2,0,IF(ABS(ROUND(L302,0)-L302)&lt;0.01,L485,L485+L486*(ROUND(L302,0)-L302))))</f>
        <v>0.13412791856794112</v>
      </c>
      <c r="M484" s="10">
        <f ca="1">IF(Dashboard!$D6=0,0,IF(ABS(M485)&gt;(M86-2*M78/1000)/M302/2,0,IF(ABS(ROUND(M302,0)-M302)&lt;0.01,M485,M485+M486*(ROUND(M302,0)-M302))))</f>
        <v>0.13412791856794112</v>
      </c>
      <c r="N484" s="66"/>
      <c r="O484" s="177"/>
      <c r="P484" s="177"/>
    </row>
    <row r="485" spans="1:22" x14ac:dyDescent="0.15">
      <c r="A485" s="1214"/>
      <c r="B485" s="8" t="s">
        <v>664</v>
      </c>
      <c r="G485" s="10">
        <f t="shared" ref="G485:M485" ca="1" si="197">G484</f>
        <v>0.13412791856794112</v>
      </c>
      <c r="H485" s="10">
        <f t="shared" ca="1" si="197"/>
        <v>0.13412791856794112</v>
      </c>
      <c r="I485" s="10">
        <f t="shared" ca="1" si="197"/>
        <v>0.13412791856794112</v>
      </c>
      <c r="J485" s="10">
        <f t="shared" ca="1" si="197"/>
        <v>0.13412791856794112</v>
      </c>
      <c r="K485" s="10">
        <f t="shared" ca="1" si="197"/>
        <v>0.13412791856794112</v>
      </c>
      <c r="L485" s="10">
        <f t="shared" ca="1" si="197"/>
        <v>0.13412791856794112</v>
      </c>
      <c r="M485" s="10">
        <f t="shared" ca="1" si="197"/>
        <v>0.13412791856794112</v>
      </c>
      <c r="N485" s="66"/>
      <c r="O485" s="153"/>
    </row>
    <row r="486" spans="1:22" x14ac:dyDescent="0.15">
      <c r="A486" s="1214"/>
      <c r="B486" s="8" t="s">
        <v>665</v>
      </c>
      <c r="G486" s="76">
        <f t="shared" ref="G486:M486" si="198">0.1</f>
        <v>0.1</v>
      </c>
      <c r="H486" s="76">
        <f t="shared" si="198"/>
        <v>0.1</v>
      </c>
      <c r="I486" s="76">
        <f t="shared" si="198"/>
        <v>0.1</v>
      </c>
      <c r="J486" s="76">
        <f t="shared" si="198"/>
        <v>0.1</v>
      </c>
      <c r="K486" s="76">
        <f t="shared" si="198"/>
        <v>0.1</v>
      </c>
      <c r="L486" s="76">
        <f t="shared" si="198"/>
        <v>0.1</v>
      </c>
      <c r="M486" s="76">
        <f t="shared" si="198"/>
        <v>0.1</v>
      </c>
      <c r="N486" s="66"/>
      <c r="O486" s="153"/>
    </row>
    <row r="487" spans="1:22" ht="14" thickBot="1" x14ac:dyDescent="0.2">
      <c r="A487" s="1214"/>
      <c r="B487" s="88"/>
      <c r="G487" s="93"/>
      <c r="H487" s="93"/>
      <c r="I487" s="93"/>
      <c r="J487" s="93"/>
      <c r="K487" s="93"/>
      <c r="L487" s="93"/>
      <c r="M487" s="93"/>
      <c r="N487" s="66"/>
      <c r="O487" s="93"/>
    </row>
    <row r="488" spans="1:22" ht="21" thickBot="1" x14ac:dyDescent="0.25">
      <c r="A488" s="1214"/>
      <c r="B488" s="1262" t="s">
        <v>666</v>
      </c>
      <c r="C488" s="1263"/>
      <c r="D488" s="1263"/>
      <c r="E488" s="1263"/>
      <c r="F488" s="1263"/>
      <c r="G488" s="1263"/>
      <c r="H488" s="1263"/>
      <c r="I488" s="1263"/>
      <c r="J488" s="1263"/>
      <c r="K488" s="1263"/>
      <c r="L488" s="1263"/>
      <c r="M488" s="1264"/>
      <c r="N488" s="66"/>
      <c r="O488" s="93"/>
    </row>
    <row r="489" spans="1:22" x14ac:dyDescent="0.15">
      <c r="A489" s="1214"/>
      <c r="B489" s="88"/>
      <c r="G489" s="93"/>
      <c r="H489" s="93"/>
      <c r="I489" s="93"/>
      <c r="J489" s="93"/>
      <c r="K489" s="93"/>
      <c r="L489" s="93"/>
      <c r="M489" s="93"/>
      <c r="N489" s="66"/>
      <c r="O489" s="93"/>
    </row>
    <row r="490" spans="1:22" x14ac:dyDescent="0.15">
      <c r="A490" s="1214"/>
      <c r="B490" s="8" t="s">
        <v>667</v>
      </c>
      <c r="G490" s="344">
        <f t="shared" ref="G490:M490" ca="1" si="199">G367</f>
        <v>843.4174542613448</v>
      </c>
      <c r="H490" s="344">
        <f t="shared" ca="1" si="199"/>
        <v>843.4174542613448</v>
      </c>
      <c r="I490" s="344">
        <f t="shared" ca="1" si="199"/>
        <v>843.4174542613448</v>
      </c>
      <c r="J490" s="344">
        <f t="shared" ca="1" si="199"/>
        <v>843.4174542613448</v>
      </c>
      <c r="K490" s="344">
        <f t="shared" ca="1" si="199"/>
        <v>843.4174542613448</v>
      </c>
      <c r="L490" s="344">
        <f t="shared" ca="1" si="199"/>
        <v>843.4174542613448</v>
      </c>
      <c r="M490" s="344">
        <f t="shared" ca="1" si="199"/>
        <v>843.4174542613448</v>
      </c>
      <c r="N490" s="66"/>
      <c r="O490" s="154"/>
    </row>
    <row r="491" spans="1:22" x14ac:dyDescent="0.15">
      <c r="A491" s="1214"/>
      <c r="B491" s="8" t="s">
        <v>668</v>
      </c>
      <c r="G491" s="164">
        <f t="shared" ref="G491:M491" ca="1" si="200">G362</f>
        <v>100.00000000001774</v>
      </c>
      <c r="H491" s="164">
        <f t="shared" ca="1" si="200"/>
        <v>100.00000000001774</v>
      </c>
      <c r="I491" s="164">
        <f t="shared" ca="1" si="200"/>
        <v>100.00000000001774</v>
      </c>
      <c r="J491" s="164">
        <f t="shared" ca="1" si="200"/>
        <v>100.00000000001774</v>
      </c>
      <c r="K491" s="164">
        <f t="shared" ca="1" si="200"/>
        <v>100.00000000001774</v>
      </c>
      <c r="L491" s="164">
        <f t="shared" ca="1" si="200"/>
        <v>100.00000000001774</v>
      </c>
      <c r="M491" s="164">
        <f t="shared" ca="1" si="200"/>
        <v>100.00000000001774</v>
      </c>
      <c r="N491" s="46"/>
      <c r="O491" s="66"/>
    </row>
    <row r="492" spans="1:22" x14ac:dyDescent="0.15">
      <c r="A492" s="1214"/>
      <c r="B492" s="8" t="s">
        <v>669</v>
      </c>
      <c r="G492" s="164">
        <f t="shared" ref="G492:M492" ca="1" si="201">G490/G491</f>
        <v>8.4341745426119523</v>
      </c>
      <c r="H492" s="164">
        <f t="shared" ca="1" si="201"/>
        <v>8.4341745426119523</v>
      </c>
      <c r="I492" s="164">
        <f t="shared" ca="1" si="201"/>
        <v>8.4341745426119523</v>
      </c>
      <c r="J492" s="164">
        <f t="shared" ca="1" si="201"/>
        <v>8.4341745426119523</v>
      </c>
      <c r="K492" s="164">
        <f t="shared" ca="1" si="201"/>
        <v>8.4341745426119523</v>
      </c>
      <c r="L492" s="164">
        <f t="shared" ca="1" si="201"/>
        <v>8.4341745426119523</v>
      </c>
      <c r="M492" s="164">
        <f t="shared" ca="1" si="201"/>
        <v>8.4341745426119523</v>
      </c>
      <c r="N492" s="66"/>
      <c r="O492" s="15"/>
      <c r="P492" s="11"/>
    </row>
    <row r="493" spans="1:22" ht="15" x14ac:dyDescent="0.2">
      <c r="A493" s="1214"/>
      <c r="B493" s="8" t="s">
        <v>670</v>
      </c>
      <c r="G493" s="164">
        <f t="shared" ref="G493:M493" ca="1" si="202">G491*(G473/100)</f>
        <v>85.000000000015078</v>
      </c>
      <c r="H493" s="164">
        <f t="shared" ca="1" si="202"/>
        <v>85.000000000015078</v>
      </c>
      <c r="I493" s="164">
        <f t="shared" ca="1" si="202"/>
        <v>85.000000000015078</v>
      </c>
      <c r="J493" s="164">
        <f t="shared" ca="1" si="202"/>
        <v>85.000000000015078</v>
      </c>
      <c r="K493" s="164">
        <f t="shared" ca="1" si="202"/>
        <v>85.000000000015078</v>
      </c>
      <c r="L493" s="164">
        <f t="shared" ca="1" si="202"/>
        <v>85.000000000015078</v>
      </c>
      <c r="M493" s="164">
        <f t="shared" ca="1" si="202"/>
        <v>85.000000000015078</v>
      </c>
      <c r="N493" s="15"/>
      <c r="O493" s="15"/>
      <c r="P493" s="15"/>
      <c r="Q493" s="88"/>
    </row>
    <row r="494" spans="1:22" x14ac:dyDescent="0.15">
      <c r="A494" s="1214"/>
      <c r="B494" s="8" t="s">
        <v>671</v>
      </c>
      <c r="G494" s="344">
        <f t="shared" ref="G494:M494" ca="1" si="203">G462</f>
        <v>581.94758955313546</v>
      </c>
      <c r="H494" s="344">
        <f t="shared" ca="1" si="203"/>
        <v>581.94758955313546</v>
      </c>
      <c r="I494" s="344">
        <f t="shared" ca="1" si="203"/>
        <v>581.94758955313546</v>
      </c>
      <c r="J494" s="344">
        <f t="shared" ca="1" si="203"/>
        <v>581.94758955313546</v>
      </c>
      <c r="K494" s="344">
        <f t="shared" ca="1" si="203"/>
        <v>581.94758955313546</v>
      </c>
      <c r="L494" s="344">
        <f t="shared" ca="1" si="203"/>
        <v>581.94758955313546</v>
      </c>
      <c r="M494" s="344">
        <f t="shared" ca="1" si="203"/>
        <v>581.94758955313546</v>
      </c>
      <c r="N494" s="15"/>
      <c r="O494" s="153"/>
      <c r="P494" s="88"/>
    </row>
    <row r="495" spans="1:22" x14ac:dyDescent="0.15">
      <c r="A495" s="1214"/>
      <c r="B495" s="8" t="s">
        <v>672</v>
      </c>
      <c r="G495" s="164">
        <f t="shared" ref="G495:M495" ca="1" si="204">G82/1000</f>
        <v>0.92977519411709442</v>
      </c>
      <c r="H495" s="164">
        <f t="shared" ca="1" si="204"/>
        <v>0.92977519411709442</v>
      </c>
      <c r="I495" s="164">
        <f t="shared" ca="1" si="204"/>
        <v>0.92977519411709442</v>
      </c>
      <c r="J495" s="164">
        <f t="shared" ca="1" si="204"/>
        <v>0.92977519411709442</v>
      </c>
      <c r="K495" s="164">
        <f t="shared" ca="1" si="204"/>
        <v>0.92977519411709442</v>
      </c>
      <c r="L495" s="164">
        <f t="shared" ca="1" si="204"/>
        <v>0.92977519411709442</v>
      </c>
      <c r="M495" s="164">
        <f t="shared" ca="1" si="204"/>
        <v>0.92977519411709442</v>
      </c>
      <c r="N495" s="15"/>
      <c r="O495" s="154"/>
      <c r="P495" s="66"/>
    </row>
    <row r="496" spans="1:22" x14ac:dyDescent="0.15">
      <c r="A496" s="1214"/>
      <c r="B496" s="8" t="s">
        <v>225</v>
      </c>
      <c r="G496" s="344">
        <f t="shared" ref="G496:M496" ca="1" si="205">G495*G31</f>
        <v>371.91007764683775</v>
      </c>
      <c r="H496" s="344">
        <f t="shared" ca="1" si="205"/>
        <v>371.91007764683775</v>
      </c>
      <c r="I496" s="344">
        <f t="shared" ca="1" si="205"/>
        <v>371.91007764683775</v>
      </c>
      <c r="J496" s="344">
        <f t="shared" ca="1" si="205"/>
        <v>371.91007764683775</v>
      </c>
      <c r="K496" s="344">
        <f t="shared" ca="1" si="205"/>
        <v>371.91007764683775</v>
      </c>
      <c r="L496" s="344">
        <f t="shared" ca="1" si="205"/>
        <v>371.91007764683775</v>
      </c>
      <c r="M496" s="344">
        <f t="shared" ca="1" si="205"/>
        <v>371.91007764683775</v>
      </c>
      <c r="N496" s="15"/>
      <c r="O496" s="154"/>
      <c r="P496" s="66"/>
    </row>
    <row r="497" spans="1:40" x14ac:dyDescent="0.15">
      <c r="A497" s="1214"/>
      <c r="B497" s="8" t="s">
        <v>177</v>
      </c>
      <c r="G497" s="344">
        <f t="shared" ref="G497:M497" ca="1" si="206">G461 + G468</f>
        <v>348.80416695884247</v>
      </c>
      <c r="H497" s="344">
        <f t="shared" ca="1" si="206"/>
        <v>348.80416695884247</v>
      </c>
      <c r="I497" s="344">
        <f t="shared" ca="1" si="206"/>
        <v>348.80416695884247</v>
      </c>
      <c r="J497" s="344">
        <f t="shared" ca="1" si="206"/>
        <v>348.80416695884247</v>
      </c>
      <c r="K497" s="344">
        <f t="shared" ca="1" si="206"/>
        <v>348.80416695884247</v>
      </c>
      <c r="L497" s="344">
        <f t="shared" ca="1" si="206"/>
        <v>348.80416695884247</v>
      </c>
      <c r="M497" s="344">
        <f t="shared" ca="1" si="206"/>
        <v>348.80416695884247</v>
      </c>
      <c r="N497" s="66"/>
      <c r="O497" s="15"/>
      <c r="P497" s="66"/>
    </row>
    <row r="498" spans="1:40" x14ac:dyDescent="0.15">
      <c r="A498" s="1214"/>
      <c r="B498" s="8" t="s">
        <v>673</v>
      </c>
      <c r="G498" s="164">
        <f t="shared" ref="G498:M498" ca="1" si="207">G313/1000</f>
        <v>0.48261175967614856</v>
      </c>
      <c r="H498" s="164">
        <f t="shared" ca="1" si="207"/>
        <v>0.48261175967614856</v>
      </c>
      <c r="I498" s="164">
        <f t="shared" ca="1" si="207"/>
        <v>0.48261175967614856</v>
      </c>
      <c r="J498" s="164">
        <f t="shared" ca="1" si="207"/>
        <v>0.48261175967614856</v>
      </c>
      <c r="K498" s="164">
        <f t="shared" ca="1" si="207"/>
        <v>0.48261175967614856</v>
      </c>
      <c r="L498" s="164">
        <f t="shared" ca="1" si="207"/>
        <v>0.48261175967614856</v>
      </c>
      <c r="M498" s="164">
        <f t="shared" ca="1" si="207"/>
        <v>0.48261175967614856</v>
      </c>
      <c r="N498" s="15"/>
      <c r="O498" s="153"/>
      <c r="P498" s="66"/>
      <c r="R498" s="177"/>
      <c r="S498" s="177"/>
      <c r="T498" s="177"/>
      <c r="U498" s="177"/>
      <c r="V498" s="177"/>
    </row>
    <row r="499" spans="1:40" x14ac:dyDescent="0.15">
      <c r="A499" s="1214"/>
      <c r="B499" s="8" t="s">
        <v>223</v>
      </c>
      <c r="G499" s="344">
        <f t="shared" ref="G499:M499" ca="1" si="208">G498*G31</f>
        <v>193.04470387045941</v>
      </c>
      <c r="H499" s="344">
        <f t="shared" ca="1" si="208"/>
        <v>193.04470387045941</v>
      </c>
      <c r="I499" s="344">
        <f t="shared" ca="1" si="208"/>
        <v>193.04470387045941</v>
      </c>
      <c r="J499" s="344">
        <f t="shared" ca="1" si="208"/>
        <v>193.04470387045941</v>
      </c>
      <c r="K499" s="344">
        <f t="shared" ca="1" si="208"/>
        <v>193.04470387045941</v>
      </c>
      <c r="L499" s="344">
        <f t="shared" ca="1" si="208"/>
        <v>193.04470387045941</v>
      </c>
      <c r="M499" s="344">
        <f t="shared" ca="1" si="208"/>
        <v>193.04470387045941</v>
      </c>
      <c r="N499" s="15"/>
      <c r="O499" s="153"/>
      <c r="P499" s="66"/>
      <c r="R499" s="177"/>
      <c r="S499" s="177"/>
      <c r="T499" s="177"/>
      <c r="U499" s="177"/>
      <c r="V499" s="177"/>
    </row>
    <row r="500" spans="1:40" x14ac:dyDescent="0.15">
      <c r="A500" s="1214"/>
      <c r="B500" s="9" t="s">
        <v>228</v>
      </c>
      <c r="C500" s="9"/>
      <c r="D500" s="9"/>
      <c r="E500" s="9"/>
      <c r="F500" s="9"/>
      <c r="G500" s="345">
        <f t="shared" ref="G500:M500" ca="1" si="209">(G491*1000/G32)/G495</f>
        <v>268.88220032310278</v>
      </c>
      <c r="H500" s="345">
        <f t="shared" ca="1" si="209"/>
        <v>268.88220032310278</v>
      </c>
      <c r="I500" s="345">
        <f t="shared" ca="1" si="209"/>
        <v>268.88220032310278</v>
      </c>
      <c r="J500" s="345">
        <f t="shared" ca="1" si="209"/>
        <v>268.88220032310278</v>
      </c>
      <c r="K500" s="345">
        <f t="shared" ca="1" si="209"/>
        <v>268.88220032310278</v>
      </c>
      <c r="L500" s="345">
        <f t="shared" ca="1" si="209"/>
        <v>268.88220032310278</v>
      </c>
      <c r="M500" s="345">
        <f t="shared" ca="1" si="209"/>
        <v>268.88220032310278</v>
      </c>
      <c r="N500" s="66"/>
      <c r="O500" s="66"/>
      <c r="P500" s="66"/>
    </row>
    <row r="501" spans="1:40" x14ac:dyDescent="0.15">
      <c r="A501" s="1214"/>
      <c r="B501" s="9" t="s">
        <v>227</v>
      </c>
      <c r="C501" s="9"/>
      <c r="D501" s="9"/>
      <c r="E501" s="9"/>
      <c r="F501" s="9"/>
      <c r="G501" s="345">
        <f t="shared" ref="G501:M501" ca="1" si="210">(G491*1000/G32)/G498</f>
        <v>518.01472920552987</v>
      </c>
      <c r="H501" s="345">
        <f t="shared" ca="1" si="210"/>
        <v>518.01472920552987</v>
      </c>
      <c r="I501" s="345">
        <f t="shared" ca="1" si="210"/>
        <v>518.01472920552987</v>
      </c>
      <c r="J501" s="345">
        <f t="shared" ca="1" si="210"/>
        <v>518.01472920552987</v>
      </c>
      <c r="K501" s="345">
        <f t="shared" ca="1" si="210"/>
        <v>518.01472920552987</v>
      </c>
      <c r="L501" s="345">
        <f t="shared" ca="1" si="210"/>
        <v>518.01472920552987</v>
      </c>
      <c r="M501" s="345">
        <f t="shared" ca="1" si="210"/>
        <v>518.01472920552987</v>
      </c>
      <c r="N501" s="15"/>
      <c r="P501" s="66"/>
      <c r="Q501" s="177"/>
    </row>
    <row r="502" spans="1:40" x14ac:dyDescent="0.15">
      <c r="A502" s="1214"/>
      <c r="B502" s="8" t="s">
        <v>183</v>
      </c>
      <c r="G502" s="345">
        <f t="shared" ref="G502:M502" ca="1" si="211">G491*1000/G494</f>
        <v>171.83678014167134</v>
      </c>
      <c r="H502" s="345">
        <f t="shared" ca="1" si="211"/>
        <v>171.83678014167134</v>
      </c>
      <c r="I502" s="345">
        <f t="shared" ca="1" si="211"/>
        <v>171.83678014167134</v>
      </c>
      <c r="J502" s="345">
        <f t="shared" ca="1" si="211"/>
        <v>171.83678014167134</v>
      </c>
      <c r="K502" s="345">
        <f t="shared" ca="1" si="211"/>
        <v>171.83678014167134</v>
      </c>
      <c r="L502" s="345">
        <f t="shared" ca="1" si="211"/>
        <v>171.83678014167134</v>
      </c>
      <c r="M502" s="345">
        <f t="shared" ca="1" si="211"/>
        <v>171.83678014167134</v>
      </c>
      <c r="N502" s="11"/>
      <c r="O502" s="177"/>
      <c r="P502" s="177"/>
    </row>
    <row r="503" spans="1:40" x14ac:dyDescent="0.15">
      <c r="A503" s="1214"/>
      <c r="B503" s="8" t="s">
        <v>182</v>
      </c>
      <c r="G503" s="345">
        <f t="shared" ref="G503:M503" ca="1" si="212">G491*1000/G497</f>
        <v>286.69382270257495</v>
      </c>
      <c r="H503" s="345">
        <f t="shared" ca="1" si="212"/>
        <v>286.69382270257495</v>
      </c>
      <c r="I503" s="345">
        <f t="shared" ca="1" si="212"/>
        <v>286.69382270257495</v>
      </c>
      <c r="J503" s="345">
        <f t="shared" ca="1" si="212"/>
        <v>286.69382270257495</v>
      </c>
      <c r="K503" s="345">
        <f t="shared" ca="1" si="212"/>
        <v>286.69382270257495</v>
      </c>
      <c r="L503" s="345">
        <f t="shared" ca="1" si="212"/>
        <v>286.69382270257495</v>
      </c>
      <c r="M503" s="345">
        <f t="shared" ca="1" si="212"/>
        <v>286.69382270257495</v>
      </c>
      <c r="N503" s="11"/>
      <c r="Q503" s="66"/>
    </row>
    <row r="504" spans="1:40" ht="14" thickBot="1" x14ac:dyDescent="0.2">
      <c r="A504" s="1214"/>
      <c r="G504" s="345"/>
      <c r="H504" s="345"/>
      <c r="I504" s="345"/>
      <c r="J504" s="345"/>
      <c r="K504" s="345"/>
      <c r="L504" s="345"/>
      <c r="M504" s="345"/>
      <c r="N504" s="11"/>
      <c r="Q504" s="66"/>
    </row>
    <row r="505" spans="1:40" ht="21" thickBot="1" x14ac:dyDescent="0.25">
      <c r="A505"/>
      <c r="B505" s="1262" t="s">
        <v>674</v>
      </c>
      <c r="C505" s="1263"/>
      <c r="D505" s="1263"/>
      <c r="E505" s="1263"/>
      <c r="F505" s="1263"/>
      <c r="G505" s="1263"/>
      <c r="H505" s="1263"/>
      <c r="I505" s="1263"/>
      <c r="J505" s="1263"/>
      <c r="K505" s="1263"/>
      <c r="L505" s="1263"/>
      <c r="M505" s="1264"/>
      <c r="N505"/>
      <c r="O505"/>
      <c r="P505" s="137"/>
      <c r="Q505" s="68"/>
      <c r="R505" s="103"/>
      <c r="S505" s="103"/>
      <c r="T505" s="103"/>
      <c r="U505" s="103"/>
      <c r="V505" s="103"/>
      <c r="W505" s="103"/>
      <c r="X505" s="103"/>
      <c r="Z505" s="172"/>
      <c r="AA505" s="172"/>
      <c r="AB505" s="172"/>
      <c r="AC505" s="172"/>
      <c r="AD505" s="172"/>
      <c r="AE505" s="172"/>
      <c r="AF505" s="172"/>
      <c r="AH505" s="11"/>
      <c r="AI505" s="11"/>
      <c r="AJ505" s="11"/>
      <c r="AK505" s="11"/>
      <c r="AL505" s="11"/>
      <c r="AM505" s="11"/>
      <c r="AN505" s="11"/>
    </row>
    <row r="506" spans="1:40" ht="18" x14ac:dyDescent="0.2">
      <c r="A506"/>
      <c r="N506"/>
      <c r="O506"/>
      <c r="P506" s="132"/>
      <c r="R506" s="136"/>
      <c r="S506" s="136"/>
      <c r="T506" s="136"/>
      <c r="U506" s="136"/>
      <c r="V506" s="136"/>
      <c r="W506" s="136"/>
    </row>
    <row r="507" spans="1:40" ht="16" x14ac:dyDescent="0.2">
      <c r="B507" s="5" t="s">
        <v>675</v>
      </c>
      <c r="F507" s="5" t="s">
        <v>676</v>
      </c>
    </row>
    <row r="508" spans="1:40" x14ac:dyDescent="0.15">
      <c r="B508" s="8" t="s">
        <v>677</v>
      </c>
      <c r="F508" s="8">
        <v>1</v>
      </c>
      <c r="G508" s="2" t="str">
        <f t="shared" ref="G508:M508" si="213">IF(MOD(G25, G26) = 0, "", $F508 &amp; ", ")</f>
        <v/>
      </c>
      <c r="H508" s="2" t="str">
        <f t="shared" si="213"/>
        <v/>
      </c>
      <c r="I508" s="2" t="str">
        <f t="shared" si="213"/>
        <v/>
      </c>
      <c r="J508" s="2" t="str">
        <f t="shared" si="213"/>
        <v/>
      </c>
      <c r="K508" s="2" t="str">
        <f t="shared" si="213"/>
        <v/>
      </c>
      <c r="L508" s="2" t="str">
        <f t="shared" si="213"/>
        <v/>
      </c>
      <c r="M508" s="2" t="str">
        <f t="shared" si="213"/>
        <v/>
      </c>
    </row>
    <row r="509" spans="1:40" x14ac:dyDescent="0.15">
      <c r="B509" s="8" t="s">
        <v>678</v>
      </c>
      <c r="F509" s="8">
        <f>F508+1</f>
        <v>2</v>
      </c>
      <c r="G509" s="2" t="str">
        <f t="shared" ref="G509:M509" si="214">IF(MOD(G28, G30) = 0, "", $F509 &amp; ", ")</f>
        <v/>
      </c>
      <c r="H509" s="2" t="str">
        <f t="shared" si="214"/>
        <v/>
      </c>
      <c r="I509" s="2" t="str">
        <f t="shared" si="214"/>
        <v/>
      </c>
      <c r="J509" s="2" t="str">
        <f t="shared" si="214"/>
        <v/>
      </c>
      <c r="K509" s="2" t="str">
        <f t="shared" si="214"/>
        <v/>
      </c>
      <c r="L509" s="2" t="str">
        <f t="shared" si="214"/>
        <v/>
      </c>
      <c r="M509" s="2" t="str">
        <f t="shared" si="214"/>
        <v/>
      </c>
    </row>
    <row r="510" spans="1:40" x14ac:dyDescent="0.15">
      <c r="B510" s="8" t="s">
        <v>679</v>
      </c>
      <c r="F510" s="8">
        <f>F509+1</f>
        <v>3</v>
      </c>
      <c r="G510" s="2" t="str">
        <f t="shared" ref="G510:M510" ca="1" si="215">IF(G145 &lt; G128, $F510 &amp; ", ", "")</f>
        <v/>
      </c>
      <c r="H510" s="2" t="str">
        <f t="shared" ca="1" si="215"/>
        <v/>
      </c>
      <c r="I510" s="2" t="str">
        <f t="shared" ca="1" si="215"/>
        <v/>
      </c>
      <c r="J510" s="2" t="str">
        <f t="shared" ca="1" si="215"/>
        <v/>
      </c>
      <c r="K510" s="2" t="str">
        <f t="shared" ca="1" si="215"/>
        <v/>
      </c>
      <c r="L510" s="2" t="str">
        <f t="shared" ca="1" si="215"/>
        <v/>
      </c>
      <c r="M510" s="2" t="str">
        <f t="shared" ca="1" si="215"/>
        <v/>
      </c>
    </row>
    <row r="511" spans="1:40" ht="14.25" customHeight="1" x14ac:dyDescent="0.15">
      <c r="B511" s="8" t="s">
        <v>680</v>
      </c>
      <c r="F511" s="8">
        <f>F510+1</f>
        <v>4</v>
      </c>
      <c r="G511" s="46" t="str">
        <f ca="1">IF(G282 &lt; Chem!$C$28, $F511 &amp; ", ", "")</f>
        <v/>
      </c>
      <c r="H511" s="46" t="str">
        <f ca="1">IF(H282 &lt; Chem!$C$28, $F511 &amp; ", ", "")</f>
        <v/>
      </c>
      <c r="I511" s="46" t="str">
        <f ca="1">IF(I282 &lt; Chem!$C$28, $F511 &amp; ", ", "")</f>
        <v/>
      </c>
      <c r="J511" s="46" t="str">
        <f ca="1">IF(J282 &lt; Chem!$C$28, $F511 &amp; ", ", "")</f>
        <v/>
      </c>
      <c r="K511" s="46" t="str">
        <f ca="1">IF(K282 &lt; Chem!$C$28, $F511 &amp; ", ", "")</f>
        <v/>
      </c>
      <c r="L511" s="46" t="str">
        <f ca="1">IF(L282 &lt; Chem!$C$28, $F511 &amp; ", ", "")</f>
        <v/>
      </c>
      <c r="M511" s="46" t="str">
        <f ca="1">IF(M282 &lt; Chem!$C$28, $F511 &amp; ", ", "")</f>
        <v/>
      </c>
    </row>
    <row r="512" spans="1:40" ht="14.25" customHeight="1" x14ac:dyDescent="0.15">
      <c r="B512" s="8" t="s">
        <v>681</v>
      </c>
      <c r="F512" s="8">
        <f>F511+1</f>
        <v>5</v>
      </c>
      <c r="G512" s="46" t="str">
        <f t="shared" ref="G512:M512" si="216">IF(AND(_manufact_method &gt;1, _utilization_type&gt;1), $F$512 &amp; ", ", "")</f>
        <v/>
      </c>
      <c r="H512" s="46" t="str">
        <f t="shared" si="216"/>
        <v/>
      </c>
      <c r="I512" s="46" t="str">
        <f t="shared" si="216"/>
        <v/>
      </c>
      <c r="J512" s="46" t="str">
        <f t="shared" si="216"/>
        <v/>
      </c>
      <c r="K512" s="46" t="str">
        <f t="shared" si="216"/>
        <v/>
      </c>
      <c r="L512" s="46" t="str">
        <f t="shared" si="216"/>
        <v/>
      </c>
      <c r="M512" s="46" t="str">
        <f t="shared" si="216"/>
        <v/>
      </c>
    </row>
    <row r="513" spans="1:44" ht="14.25" customHeight="1" x14ac:dyDescent="0.15">
      <c r="B513" s="8" t="s">
        <v>682</v>
      </c>
      <c r="F513" s="8">
        <f>F512+1</f>
        <v>6</v>
      </c>
      <c r="G513" s="46" t="str">
        <f>IF(Dashboard!D142*1.01 &lt; Dashboard!D141,$F513 &amp; ", ", "")</f>
        <v/>
      </c>
      <c r="H513" s="46" t="str">
        <f>IF(Dashboard!E142*1.01 &lt; Dashboard!E141,$F513 &amp; ", ", "")</f>
        <v/>
      </c>
      <c r="I513" s="46" t="str">
        <f>IF(Dashboard!F142*1.01 &lt; Dashboard!F141,$F513 &amp; ", ", "")</f>
        <v/>
      </c>
      <c r="J513" s="46" t="str">
        <f>IF(Dashboard!G142*1.01 &lt; Dashboard!G141,$F513 &amp; ", ", "")</f>
        <v/>
      </c>
      <c r="K513" s="46" t="str">
        <f>IF(Dashboard!H142*1.01 &lt; Dashboard!H141,$F513 &amp; ", ", "")</f>
        <v/>
      </c>
      <c r="L513" s="46" t="str">
        <f>IF(Dashboard!I142*1.01 &lt; Dashboard!I141,$F513 &amp; ", ", "")</f>
        <v/>
      </c>
      <c r="M513" s="46" t="str">
        <f>IF(Dashboard!J142*1.01 &lt; Dashboard!J141,$F513 &amp; ", ", "")</f>
        <v/>
      </c>
    </row>
    <row r="514" spans="1:44" ht="14.25" customHeight="1" x14ac:dyDescent="0.15"/>
    <row r="515" spans="1:44" ht="16" x14ac:dyDescent="0.2">
      <c r="B515" s="5" t="s">
        <v>683</v>
      </c>
      <c r="F515" s="5"/>
    </row>
    <row r="516" spans="1:44" x14ac:dyDescent="0.15">
      <c r="B516" s="8" t="s">
        <v>684</v>
      </c>
      <c r="F516" s="8">
        <f>F513+1</f>
        <v>7</v>
      </c>
      <c r="G516" s="15" t="str">
        <f t="shared" ref="G516:M516" si="217">IF(OR(G28 = 1, G28 = 2, G28 =4), "", $F516 &amp; ", ")</f>
        <v/>
      </c>
      <c r="H516" s="15" t="str">
        <f t="shared" si="217"/>
        <v/>
      </c>
      <c r="I516" s="15" t="str">
        <f t="shared" si="217"/>
        <v/>
      </c>
      <c r="J516" s="15" t="str">
        <f t="shared" si="217"/>
        <v/>
      </c>
      <c r="K516" s="15" t="str">
        <f t="shared" si="217"/>
        <v/>
      </c>
      <c r="L516" s="15" t="str">
        <f t="shared" si="217"/>
        <v/>
      </c>
      <c r="M516" s="15" t="str">
        <f t="shared" si="217"/>
        <v/>
      </c>
    </row>
    <row r="517" spans="1:44" x14ac:dyDescent="0.15">
      <c r="B517" s="8" t="s">
        <v>685</v>
      </c>
      <c r="F517" s="8">
        <f>F516+1</f>
        <v>8</v>
      </c>
      <c r="G517" s="15" t="str">
        <f t="shared" ref="G517:M517" si="218">IF(OR(G30 = 1, G30 = 2), "", $F517 &amp; ", ")</f>
        <v/>
      </c>
      <c r="H517" s="15" t="str">
        <f t="shared" si="218"/>
        <v/>
      </c>
      <c r="I517" s="15" t="str">
        <f t="shared" si="218"/>
        <v/>
      </c>
      <c r="J517" s="15" t="str">
        <f t="shared" si="218"/>
        <v/>
      </c>
      <c r="K517" s="15" t="str">
        <f t="shared" si="218"/>
        <v/>
      </c>
      <c r="L517" s="15" t="str">
        <f t="shared" si="218"/>
        <v/>
      </c>
      <c r="M517" s="15" t="str">
        <f t="shared" si="218"/>
        <v/>
      </c>
    </row>
    <row r="518" spans="1:44" x14ac:dyDescent="0.15">
      <c r="B518" s="8" t="s">
        <v>686</v>
      </c>
      <c r="F518" s="8">
        <f>F517+1</f>
        <v>9</v>
      </c>
      <c r="G518" s="15" t="str">
        <f ca="1">IF(G145 &lt; 'Vehicle Considerations'!$B$20 + G128, $F518 &amp; ", ", "")</f>
        <v/>
      </c>
      <c r="H518" s="15" t="str">
        <f ca="1">IF(H145 &lt; 'Vehicle Considerations'!$B$20 + H128, $F518 &amp; ", ", "")</f>
        <v/>
      </c>
      <c r="I518" s="15" t="str">
        <f ca="1">IF(I145 &lt; 'Vehicle Considerations'!$B$20 + I128, $F518 &amp; ", ", "")</f>
        <v/>
      </c>
      <c r="J518" s="15" t="str">
        <f ca="1">IF(J145 &lt; 'Vehicle Considerations'!$B$20 + J128, $F518 &amp; ", ", "")</f>
        <v/>
      </c>
      <c r="K518" s="15" t="str">
        <f ca="1">IF(K145 &lt; 'Vehicle Considerations'!$B$20 + K128, $F518 &amp; ", ", "")</f>
        <v/>
      </c>
      <c r="L518" s="15" t="str">
        <f ca="1">IF(L145 &lt; 'Vehicle Considerations'!$B$20 + L128, $F518 &amp; ", ", "")</f>
        <v/>
      </c>
      <c r="M518" s="15" t="str">
        <f ca="1">IF(M145 &lt; 'Vehicle Considerations'!$B$20 + M128, $F518 &amp; ", ", "")</f>
        <v/>
      </c>
    </row>
    <row r="519" spans="1:44" x14ac:dyDescent="0.15">
      <c r="B519" s="8" t="s">
        <v>687</v>
      </c>
      <c r="F519" s="8">
        <f t="shared" ref="F519:F524" si="219">F518+1</f>
        <v>10</v>
      </c>
      <c r="G519" s="46" t="str">
        <f>IF(AND('Vehicle Considerations'!$B$22 = "Energy", ISERROR(FIND("Energy", Dashboard!$D$13)), NOT(ISERROR(FIND("Power", Dashboard!$D$13))) ), $F519 &amp; ", ", "")</f>
        <v xml:space="preserve">10, </v>
      </c>
      <c r="H519" s="46" t="str">
        <f>IF(AND('Vehicle Considerations'!$B$22 = "Energy", ISERROR(FIND("Energy", Dashboard!$D$13)), NOT(ISERROR(FIND("Power", Dashboard!$D$13))) ), $F519 &amp; ", ", "")</f>
        <v xml:space="preserve">10, </v>
      </c>
      <c r="I519" s="46" t="str">
        <f>IF(AND('Vehicle Considerations'!$B$22 = "Energy", ISERROR(FIND("Energy", Dashboard!$D$13)), NOT(ISERROR(FIND("Power", Dashboard!$D$13))) ), $F519 &amp; ", ", "")</f>
        <v xml:space="preserve">10, </v>
      </c>
      <c r="J519" s="46" t="str">
        <f>IF(AND('Vehicle Considerations'!$B$22 = "Energy", ISERROR(FIND("Energy", Dashboard!$D$13)), NOT(ISERROR(FIND("Power", Dashboard!$D$13))) ), $F519 &amp; ", ", "")</f>
        <v xml:space="preserve">10, </v>
      </c>
      <c r="K519" s="46" t="str">
        <f>IF(AND('Vehicle Considerations'!$B$22 = "Energy", ISERROR(FIND("Energy", Dashboard!$D$13)), NOT(ISERROR(FIND("Power", Dashboard!$D$13))) ), $F519 &amp; ", ", "")</f>
        <v xml:space="preserve">10, </v>
      </c>
      <c r="L519" s="46" t="str">
        <f>IF(AND('Vehicle Considerations'!$B$22 = "Energy", ISERROR(FIND("Energy", Dashboard!$D$13)), NOT(ISERROR(FIND("Power", Dashboard!$D$13))) ), $F519 &amp; ", ", "")</f>
        <v xml:space="preserve">10, </v>
      </c>
      <c r="M519" s="46" t="str">
        <f>IF(AND('Vehicle Considerations'!$B$22 = "Energy", ISERROR(FIND("Energy", Dashboard!$D$13)), NOT(ISERROR(FIND("Power", Dashboard!$D$13))) ), $F519 &amp; ", ", "")</f>
        <v xml:space="preserve">10, </v>
      </c>
    </row>
    <row r="520" spans="1:44" x14ac:dyDescent="0.15">
      <c r="B520" s="8" t="s">
        <v>688</v>
      </c>
      <c r="F520" s="8">
        <f t="shared" si="219"/>
        <v>11</v>
      </c>
      <c r="G520" s="46" t="str">
        <f>IF(AND('Vehicle Considerations'!$B$22 = "Power", ISERROR(FIND("Power", Dashboard!$D$13)), NOT(ISERROR(FIND("Energy", Dashboard!$D$13)))), $F520 &amp; ", ", "")</f>
        <v/>
      </c>
      <c r="H520" s="46" t="str">
        <f>IF(AND('Vehicle Considerations'!$B$22 = "Power", ISERROR(FIND("Power", Dashboard!$D$13)), NOT(ISERROR(FIND("Energy", Dashboard!$D$13)))), $F520 &amp; ", ", "")</f>
        <v/>
      </c>
      <c r="I520" s="46" t="str">
        <f>IF(AND('Vehicle Considerations'!$B$22 = "Power", ISERROR(FIND("Power", Dashboard!$D$13)), NOT(ISERROR(FIND("Energy", Dashboard!$D$13)))), $F520 &amp; ", ", "")</f>
        <v/>
      </c>
      <c r="J520" s="46" t="str">
        <f>IF(AND('Vehicle Considerations'!$B$22 = "Power", ISERROR(FIND("Power", Dashboard!$D$13)), NOT(ISERROR(FIND("Energy", Dashboard!$D$13)))), $F520 &amp; ", ", "")</f>
        <v/>
      </c>
      <c r="K520" s="46" t="str">
        <f>IF(AND('Vehicle Considerations'!$B$22 = "Power", ISERROR(FIND("Power", Dashboard!$D$13)), NOT(ISERROR(FIND("Energy", Dashboard!$D$13)))), $F520 &amp; ", ", "")</f>
        <v/>
      </c>
      <c r="L520" s="46" t="str">
        <f>IF(AND('Vehicle Considerations'!$B$22 = "Power", ISERROR(FIND("Power", Dashboard!$D$13)), NOT(ISERROR(FIND("Energy", Dashboard!$D$13)))), $F520 &amp; ", ", "")</f>
        <v/>
      </c>
      <c r="M520" s="46" t="str">
        <f>IF(AND('Vehicle Considerations'!$B$22 = "Power", ISERROR(FIND("Power", Dashboard!$D$13)), NOT(ISERROR(FIND("Energy", Dashboard!$D$13)))), $F520 &amp; ", ", "")</f>
        <v/>
      </c>
    </row>
    <row r="521" spans="1:44" x14ac:dyDescent="0.15">
      <c r="B521" s="8" t="s">
        <v>689</v>
      </c>
      <c r="F521" s="8">
        <f t="shared" si="219"/>
        <v>12</v>
      </c>
      <c r="G521" s="46" t="str">
        <f t="shared" ref="G521:M521" ca="1" si="220">IF(AND(G415 &gt; 1524, G416 &gt; 1524), $F521 &amp;", ", "")</f>
        <v/>
      </c>
      <c r="H521" s="46" t="str">
        <f t="shared" ca="1" si="220"/>
        <v/>
      </c>
      <c r="I521" s="46" t="str">
        <f t="shared" ca="1" si="220"/>
        <v/>
      </c>
      <c r="J521" s="46" t="str">
        <f t="shared" ca="1" si="220"/>
        <v/>
      </c>
      <c r="K521" s="46" t="str">
        <f t="shared" ca="1" si="220"/>
        <v/>
      </c>
      <c r="L521" s="46" t="str">
        <f t="shared" ca="1" si="220"/>
        <v/>
      </c>
      <c r="M521" s="46" t="str">
        <f t="shared" ca="1" si="220"/>
        <v/>
      </c>
    </row>
    <row r="522" spans="1:44" x14ac:dyDescent="0.15">
      <c r="B522" s="8" t="s">
        <v>690</v>
      </c>
      <c r="F522" s="8">
        <f t="shared" si="219"/>
        <v>13</v>
      </c>
      <c r="G522" s="46" t="str">
        <f t="shared" ref="G522:M522" ca="1" si="221">IF(G16 &gt; 1000, $F522 &amp; ", ", "")</f>
        <v/>
      </c>
      <c r="H522" s="46" t="str">
        <f t="shared" ca="1" si="221"/>
        <v/>
      </c>
      <c r="I522" s="46" t="str">
        <f t="shared" ca="1" si="221"/>
        <v/>
      </c>
      <c r="J522" s="46" t="str">
        <f t="shared" ca="1" si="221"/>
        <v/>
      </c>
      <c r="K522" s="46" t="str">
        <f t="shared" ca="1" si="221"/>
        <v/>
      </c>
      <c r="L522" s="46" t="str">
        <f t="shared" ca="1" si="221"/>
        <v/>
      </c>
      <c r="M522" s="46" t="str">
        <f t="shared" ca="1" si="221"/>
        <v/>
      </c>
    </row>
    <row r="523" spans="1:44" x14ac:dyDescent="0.15">
      <c r="B523" s="8" t="s">
        <v>691</v>
      </c>
      <c r="F523" s="8">
        <f t="shared" si="219"/>
        <v>14</v>
      </c>
      <c r="G523" s="46" t="str">
        <f ca="1">IF(AND(G247&gt;G246,Dashboard!$D$36="Yes"),$F523&amp;", ","")</f>
        <v/>
      </c>
      <c r="H523" s="46" t="str">
        <f ca="1">IF(AND(H247&gt;H246,Dashboard!$D$36="Yes"),$F523&amp;", ","")</f>
        <v/>
      </c>
      <c r="I523" s="46" t="str">
        <f ca="1">IF(AND(I247&gt;I246,Dashboard!$D$36="Yes"),$F523&amp;", ","")</f>
        <v/>
      </c>
      <c r="J523" s="46" t="str">
        <f ca="1">IF(AND(J247&gt;J246,Dashboard!$D$36="Yes"),$F523&amp;", ","")</f>
        <v/>
      </c>
      <c r="K523" s="46" t="str">
        <f ca="1">IF(AND(K247&gt;K246,Dashboard!$D$36="Yes"),$F523&amp;", ","")</f>
        <v/>
      </c>
      <c r="L523" s="46" t="str">
        <f ca="1">IF(AND(L247&gt;L246,Dashboard!$D$36="Yes"),$F523&amp;", ","")</f>
        <v/>
      </c>
      <c r="M523" s="46" t="str">
        <f ca="1">IF(AND(M247&gt;M246,Dashboard!$D$36="Yes"),$F523&amp;", ","")</f>
        <v/>
      </c>
      <c r="N523" s="562"/>
    </row>
    <row r="524" spans="1:44" x14ac:dyDescent="0.15">
      <c r="B524" s="8" t="s">
        <v>692</v>
      </c>
      <c r="F524" s="8">
        <f t="shared" si="219"/>
        <v>15</v>
      </c>
      <c r="G524" s="46" t="str">
        <f>IF(AND(Dashboard!$D$29 &gt; 0, Dashboard!$D$36 = "Yes"), $F$524 &amp; ", ", "")</f>
        <v/>
      </c>
      <c r="H524" s="46" t="str">
        <f>IF(AND(Dashboard!$D$29 &gt; 0, Dashboard!$D$36 = "Yes"), $F$524 &amp; ", ", "")</f>
        <v/>
      </c>
      <c r="I524" s="46" t="str">
        <f>IF(AND(Dashboard!$D$29 &gt; 0, Dashboard!$D$36 = "Yes"), $F$524 &amp; ", ", "")</f>
        <v/>
      </c>
      <c r="J524" s="46" t="str">
        <f>IF(AND(Dashboard!$D$29 &gt; 0, Dashboard!$D$36 = "Yes"), $F$524 &amp; ", ", "")</f>
        <v/>
      </c>
      <c r="K524" s="46" t="str">
        <f>IF(AND(Dashboard!$D$29 &gt; 0, Dashboard!$D$36 = "Yes"), $F$524 &amp; ", ", "")</f>
        <v/>
      </c>
      <c r="L524" s="46" t="str">
        <f>IF(AND(Dashboard!$D$29 &gt; 0, Dashboard!$D$36 = "Yes"), $F$524 &amp; ", ", "")</f>
        <v/>
      </c>
      <c r="M524" s="46" t="str">
        <f>IF(AND(Dashboard!$D$29 &gt; 0, Dashboard!$D$36 = "Yes"), $F$524 &amp; ", ", "")</f>
        <v/>
      </c>
      <c r="N524" s="562"/>
    </row>
    <row r="525" spans="1:44" x14ac:dyDescent="0.15">
      <c r="G525" s="46"/>
      <c r="H525" s="46"/>
      <c r="I525" s="46"/>
      <c r="J525" s="46"/>
      <c r="K525" s="46"/>
      <c r="L525" s="46"/>
      <c r="M525" s="46"/>
      <c r="N525" s="562"/>
    </row>
    <row r="526" spans="1:44" x14ac:dyDescent="0.15">
      <c r="G526" s="46"/>
      <c r="H526" s="46"/>
      <c r="I526" s="46"/>
      <c r="J526" s="46"/>
      <c r="K526" s="46"/>
      <c r="L526" s="46"/>
      <c r="M526" s="46"/>
    </row>
    <row r="527" spans="1:44" ht="16" x14ac:dyDescent="0.2">
      <c r="B527" s="5" t="s">
        <v>693</v>
      </c>
      <c r="G527" s="46"/>
      <c r="H527" s="46"/>
      <c r="I527" s="46"/>
      <c r="J527" s="46"/>
      <c r="K527" s="46"/>
      <c r="L527" s="46"/>
      <c r="M527" s="46"/>
    </row>
    <row r="528" spans="1:44" x14ac:dyDescent="0.15">
      <c r="A528"/>
      <c r="B528" s="8" t="s">
        <v>694</v>
      </c>
      <c r="G528" s="15" t="str">
        <f ca="1">G508 &amp; G509 &amp; G510 &amp; G511 &amp; G512&amp;G513</f>
        <v/>
      </c>
      <c r="H528" s="15" t="str">
        <f t="shared" ref="H528:M528" ca="1" si="222">H508 &amp; H509 &amp; H510 &amp; H511 &amp; H512&amp;H513</f>
        <v/>
      </c>
      <c r="I528" s="15" t="str">
        <f t="shared" ca="1" si="222"/>
        <v/>
      </c>
      <c r="J528" s="15" t="str">
        <f t="shared" ca="1" si="222"/>
        <v/>
      </c>
      <c r="K528" s="15" t="str">
        <f t="shared" ca="1" si="222"/>
        <v/>
      </c>
      <c r="L528" s="15" t="str">
        <f t="shared" ca="1" si="222"/>
        <v/>
      </c>
      <c r="M528" s="15" t="str">
        <f t="shared" ca="1" si="222"/>
        <v/>
      </c>
      <c r="N528"/>
      <c r="O528"/>
      <c r="P528" s="66"/>
      <c r="Q528" s="66"/>
      <c r="AO528" s="46"/>
      <c r="AP528" s="46"/>
      <c r="AQ528" s="46"/>
      <c r="AR528" s="46"/>
    </row>
    <row r="529" spans="1:44" x14ac:dyDescent="0.15">
      <c r="A529"/>
      <c r="B529" s="8" t="s">
        <v>695</v>
      </c>
      <c r="G529" s="15" t="str">
        <f ca="1">IF(G528="","None",LEFT(G528,LEN(G528)-2))</f>
        <v>None</v>
      </c>
      <c r="H529" s="15" t="str">
        <f t="shared" ref="H529:M529" ca="1" si="223">IF(H528="","None",LEFT(H528,LEN(H528)-2))</f>
        <v>None</v>
      </c>
      <c r="I529" s="15" t="str">
        <f t="shared" ca="1" si="223"/>
        <v>None</v>
      </c>
      <c r="J529" s="15" t="str">
        <f t="shared" ca="1" si="223"/>
        <v>None</v>
      </c>
      <c r="K529" s="15" t="str">
        <f t="shared" ca="1" si="223"/>
        <v>None</v>
      </c>
      <c r="L529" s="15" t="str">
        <f t="shared" ca="1" si="223"/>
        <v>None</v>
      </c>
      <c r="M529" s="15" t="str">
        <f t="shared" ca="1" si="223"/>
        <v>None</v>
      </c>
      <c r="N529"/>
      <c r="O529"/>
      <c r="P529" s="66"/>
      <c r="Q529" s="15"/>
    </row>
    <row r="530" spans="1:44" x14ac:dyDescent="0.15">
      <c r="A530"/>
      <c r="G530" s="15"/>
      <c r="H530" s="15"/>
      <c r="I530" s="15"/>
      <c r="J530" s="15"/>
      <c r="K530" s="15"/>
      <c r="L530" s="15"/>
      <c r="M530" s="15"/>
      <c r="N530"/>
      <c r="O530"/>
      <c r="P530" s="15"/>
      <c r="Q530" s="66"/>
      <c r="Y530" s="46"/>
      <c r="Z530" s="46"/>
      <c r="AA530" s="46"/>
      <c r="AB530" s="46"/>
      <c r="AD530" s="46"/>
      <c r="AE530" s="46"/>
      <c r="AF530" s="46"/>
      <c r="AG530" s="46"/>
      <c r="AH530" s="46"/>
      <c r="AI530" s="46"/>
      <c r="AJ530" s="46"/>
      <c r="AL530" s="46"/>
      <c r="AM530" s="46"/>
      <c r="AN530" s="46"/>
      <c r="AO530" s="66"/>
      <c r="AP530" s="66"/>
      <c r="AQ530" s="66"/>
      <c r="AR530" s="66"/>
    </row>
    <row r="531" spans="1:44" ht="12.75" customHeight="1" x14ac:dyDescent="0.15">
      <c r="A531"/>
      <c r="B531" s="8" t="s">
        <v>696</v>
      </c>
      <c r="G531" s="15" t="str">
        <f ca="1">G516&amp;G517 &amp;G518&amp;G519&amp;G520&amp;G521&amp;G522&amp;G523 &amp; G524</f>
        <v xml:space="preserve">10, </v>
      </c>
      <c r="H531" s="15" t="str">
        <f t="shared" ref="H531:M531" ca="1" si="224">H516&amp;H517 &amp;H518&amp;H519&amp;H520&amp;H521&amp;H522&amp;H523 &amp; H524</f>
        <v xml:space="preserve">10, </v>
      </c>
      <c r="I531" s="15" t="str">
        <f t="shared" ca="1" si="224"/>
        <v xml:space="preserve">10, </v>
      </c>
      <c r="J531" s="15" t="str">
        <f t="shared" ca="1" si="224"/>
        <v xml:space="preserve">10, </v>
      </c>
      <c r="K531" s="15" t="str">
        <f t="shared" ca="1" si="224"/>
        <v xml:space="preserve">10, </v>
      </c>
      <c r="L531" s="15" t="str">
        <f t="shared" ca="1" si="224"/>
        <v xml:space="preserve">10, </v>
      </c>
      <c r="M531" s="15" t="str">
        <f t="shared" ca="1" si="224"/>
        <v xml:space="preserve">10, </v>
      </c>
      <c r="N531"/>
      <c r="O531"/>
      <c r="P531" s="66"/>
      <c r="Q531" s="66"/>
      <c r="AO531" s="15"/>
      <c r="AP531" s="15"/>
      <c r="AQ531" s="15"/>
      <c r="AR531" s="15"/>
    </row>
    <row r="532" spans="1:44" x14ac:dyDescent="0.15">
      <c r="A532"/>
      <c r="B532" s="8" t="s">
        <v>697</v>
      </c>
      <c r="G532" s="15" t="str">
        <f ca="1">IF(G531="","None",LEFT(G531,LEN(G531)-2))</f>
        <v>10</v>
      </c>
      <c r="H532" s="15" t="str">
        <f t="shared" ref="H532:M532" ca="1" si="225">IF(H531="","None",LEFT(H531,LEN(H531)-2))</f>
        <v>10</v>
      </c>
      <c r="I532" s="15" t="str">
        <f t="shared" ca="1" si="225"/>
        <v>10</v>
      </c>
      <c r="J532" s="15" t="str">
        <f t="shared" ca="1" si="225"/>
        <v>10</v>
      </c>
      <c r="K532" s="15" t="str">
        <f t="shared" ca="1" si="225"/>
        <v>10</v>
      </c>
      <c r="L532" s="15" t="str">
        <f t="shared" ca="1" si="225"/>
        <v>10</v>
      </c>
      <c r="M532" s="15" t="str">
        <f t="shared" ca="1" si="225"/>
        <v>10</v>
      </c>
      <c r="N532"/>
      <c r="O532"/>
      <c r="P532" s="66"/>
      <c r="Y532" s="66"/>
      <c r="Z532" s="66"/>
      <c r="AA532" s="66"/>
      <c r="AB532" s="66"/>
      <c r="AD532" s="66"/>
      <c r="AE532" s="66"/>
      <c r="AF532" s="66"/>
      <c r="AG532" s="66"/>
      <c r="AH532" s="66"/>
      <c r="AI532" s="66"/>
      <c r="AJ532" s="66"/>
      <c r="AL532" s="66"/>
      <c r="AM532" s="66"/>
      <c r="AN532" s="66"/>
      <c r="AO532" s="66"/>
      <c r="AP532" s="66"/>
      <c r="AQ532" s="66"/>
      <c r="AR532" s="66"/>
    </row>
    <row r="533" spans="1:44" x14ac:dyDescent="0.15">
      <c r="A533"/>
      <c r="G533" s="112"/>
      <c r="H533" s="112"/>
      <c r="I533" s="112"/>
      <c r="J533" s="112"/>
      <c r="K533" s="112"/>
      <c r="L533" s="112"/>
      <c r="M533" s="112"/>
      <c r="N533"/>
      <c r="O533"/>
      <c r="Q533" s="11"/>
      <c r="R533" s="66"/>
      <c r="S533" s="66"/>
      <c r="T533" s="66"/>
      <c r="U533" s="66"/>
      <c r="Y533" s="1215"/>
      <c r="Z533" s="15"/>
      <c r="AA533" s="1317"/>
      <c r="AB533" s="1317"/>
      <c r="AC533" s="1317"/>
      <c r="AD533" s="1317"/>
      <c r="AE533" s="1317"/>
      <c r="AF533" s="15"/>
      <c r="AG533" s="15"/>
      <c r="AH533" s="15"/>
      <c r="AI533" s="15"/>
      <c r="AJ533" s="15"/>
      <c r="AL533" s="15"/>
      <c r="AM533" s="15"/>
      <c r="AN533" s="15"/>
      <c r="AO533" s="66"/>
      <c r="AP533" s="66"/>
      <c r="AQ533" s="66"/>
      <c r="AR533" s="66"/>
    </row>
    <row r="534" spans="1:44" x14ac:dyDescent="0.15">
      <c r="A534"/>
      <c r="N534"/>
      <c r="O534"/>
      <c r="P534" s="66"/>
      <c r="Q534" s="46"/>
    </row>
    <row r="535" spans="1:44" x14ac:dyDescent="0.15">
      <c r="A535"/>
      <c r="N535"/>
      <c r="O535"/>
      <c r="P535" s="15"/>
    </row>
    <row r="542" spans="1:44" x14ac:dyDescent="0.15">
      <c r="A542"/>
      <c r="N542"/>
      <c r="O542"/>
      <c r="P542" s="11"/>
      <c r="Q542" s="11"/>
      <c r="R542" s="1215"/>
      <c r="S542" s="1215"/>
      <c r="T542" s="15"/>
      <c r="U542" s="1215"/>
      <c r="V542" s="1215"/>
      <c r="W542" s="1215"/>
      <c r="X542" s="1215"/>
      <c r="Y542" s="1215"/>
      <c r="Z542"/>
      <c r="AA542"/>
      <c r="AB542"/>
      <c r="AC542"/>
      <c r="AD542"/>
      <c r="AE542"/>
      <c r="AF542"/>
      <c r="AG542"/>
      <c r="AH542" s="15"/>
      <c r="AI542" s="15"/>
      <c r="AJ542" s="15"/>
      <c r="AL542" s="15"/>
      <c r="AM542" s="15"/>
      <c r="AN542" s="15"/>
      <c r="AO542" s="66"/>
      <c r="AP542" s="66"/>
      <c r="AQ542" s="66"/>
      <c r="AR542" s="66"/>
    </row>
    <row r="543" spans="1:44" x14ac:dyDescent="0.15">
      <c r="E543" s="133"/>
      <c r="F543" s="133"/>
      <c r="N543" s="11"/>
      <c r="O543" s="68"/>
      <c r="P543" s="66"/>
      <c r="Z543"/>
      <c r="AA543"/>
      <c r="AB543"/>
      <c r="AC543"/>
      <c r="AD543"/>
      <c r="AE543"/>
      <c r="AF543"/>
      <c r="AG543"/>
    </row>
    <row r="544" spans="1:44" x14ac:dyDescent="0.15">
      <c r="N544" s="11"/>
      <c r="O544" s="11"/>
      <c r="Z544"/>
      <c r="AA544"/>
      <c r="AB544"/>
      <c r="AC544"/>
      <c r="AD544"/>
      <c r="AE544"/>
      <c r="AF544"/>
      <c r="AG544"/>
    </row>
    <row r="545" spans="14:33" x14ac:dyDescent="0.15">
      <c r="N545" s="11"/>
      <c r="O545" s="11"/>
      <c r="Z545"/>
      <c r="AA545"/>
      <c r="AB545"/>
      <c r="AC545"/>
      <c r="AD545"/>
      <c r="AE545"/>
      <c r="AF545"/>
      <c r="AG545"/>
    </row>
    <row r="546" spans="14:33" x14ac:dyDescent="0.15">
      <c r="N546" s="11"/>
      <c r="O546" s="11"/>
      <c r="Z546"/>
      <c r="AA546"/>
      <c r="AB546"/>
      <c r="AC546"/>
      <c r="AD546"/>
      <c r="AE546"/>
      <c r="AF546"/>
      <c r="AG546"/>
    </row>
    <row r="547" spans="14:33" x14ac:dyDescent="0.15">
      <c r="O547" s="11"/>
      <c r="Z547"/>
      <c r="AA547"/>
      <c r="AB547"/>
      <c r="AC547"/>
      <c r="AD547"/>
      <c r="AE547"/>
      <c r="AF547"/>
      <c r="AG547"/>
    </row>
    <row r="548" spans="14:33" x14ac:dyDescent="0.15">
      <c r="O548" s="11"/>
      <c r="Z548"/>
      <c r="AA548"/>
      <c r="AB548"/>
      <c r="AC548"/>
      <c r="AD548"/>
      <c r="AE548"/>
      <c r="AF548"/>
      <c r="AG548"/>
    </row>
    <row r="549" spans="14:33" x14ac:dyDescent="0.15">
      <c r="Z549"/>
      <c r="AA549"/>
      <c r="AB549"/>
      <c r="AC549"/>
      <c r="AD549"/>
      <c r="AE549"/>
      <c r="AF549"/>
      <c r="AG549"/>
    </row>
    <row r="550" spans="14:33" x14ac:dyDescent="0.15">
      <c r="Z550"/>
      <c r="AA550"/>
      <c r="AB550"/>
      <c r="AC550"/>
      <c r="AD550"/>
      <c r="AE550"/>
      <c r="AF550"/>
      <c r="AG550"/>
    </row>
    <row r="552" spans="14:33" x14ac:dyDescent="0.15">
      <c r="R552" s="89"/>
      <c r="S552" s="89"/>
      <c r="T552" s="89"/>
      <c r="U552" s="89"/>
      <c r="V552" s="89"/>
      <c r="W552" s="89"/>
    </row>
    <row r="553" spans="14:33" x14ac:dyDescent="0.15">
      <c r="N553" s="66"/>
      <c r="R553" s="89"/>
      <c r="S553" s="89"/>
      <c r="T553" s="89"/>
      <c r="U553" s="89"/>
      <c r="V553" s="89"/>
      <c r="W553" s="89"/>
    </row>
    <row r="554" spans="14:33" x14ac:dyDescent="0.15">
      <c r="N554" s="66"/>
      <c r="Q554" s="89"/>
      <c r="R554" s="89"/>
      <c r="S554" s="89"/>
      <c r="T554" s="89"/>
      <c r="U554" s="89"/>
      <c r="V554" s="89"/>
      <c r="W554" s="89"/>
    </row>
    <row r="555" spans="14:33" x14ac:dyDescent="0.15">
      <c r="N555" s="133"/>
      <c r="O555" s="66"/>
      <c r="P555" s="133"/>
      <c r="Q555" s="89"/>
      <c r="R555" s="89"/>
      <c r="S555" s="89"/>
      <c r="T555" s="89"/>
      <c r="U555" s="89"/>
      <c r="V555" s="89"/>
      <c r="W555" s="89"/>
    </row>
    <row r="556" spans="14:33" x14ac:dyDescent="0.15">
      <c r="N556" s="133"/>
      <c r="O556" s="66"/>
      <c r="P556" s="133"/>
      <c r="Q556" s="89"/>
      <c r="R556" s="89"/>
      <c r="S556" s="89"/>
      <c r="T556" s="89"/>
      <c r="U556" s="89"/>
      <c r="V556" s="89"/>
      <c r="W556" s="89"/>
    </row>
    <row r="557" spans="14:33" x14ac:dyDescent="0.15">
      <c r="N557" s="133"/>
      <c r="O557" s="11"/>
      <c r="P557" s="133"/>
      <c r="Q557" s="89"/>
      <c r="R557" s="89"/>
      <c r="S557" s="89"/>
      <c r="T557" s="89"/>
      <c r="U557" s="89"/>
      <c r="V557" s="89"/>
      <c r="W557" s="89"/>
    </row>
    <row r="558" spans="14:33" x14ac:dyDescent="0.15">
      <c r="N558" s="133"/>
      <c r="O558" s="11"/>
      <c r="P558" s="133"/>
      <c r="Q558" s="89"/>
      <c r="R558" s="89"/>
      <c r="S558" s="89"/>
      <c r="T558" s="89"/>
      <c r="U558" s="89"/>
      <c r="V558" s="89"/>
      <c r="W558" s="89"/>
    </row>
    <row r="559" spans="14:33" x14ac:dyDescent="0.15">
      <c r="N559" s="133"/>
      <c r="O559" s="11"/>
      <c r="P559" s="133"/>
      <c r="Q559" s="89"/>
      <c r="R559" s="89"/>
      <c r="S559" s="89"/>
      <c r="T559" s="89"/>
      <c r="U559" s="89"/>
      <c r="V559" s="89"/>
      <c r="W559" s="89"/>
    </row>
    <row r="560" spans="14:33" x14ac:dyDescent="0.15">
      <c r="N560" s="133"/>
      <c r="O560" s="11"/>
      <c r="P560" s="133"/>
      <c r="Q560" s="89"/>
      <c r="R560" s="89"/>
      <c r="S560" s="89"/>
      <c r="T560" s="89"/>
      <c r="U560" s="89"/>
      <c r="V560" s="89"/>
      <c r="W560" s="89"/>
    </row>
    <row r="561" spans="14:24" x14ac:dyDescent="0.15">
      <c r="N561" s="133"/>
      <c r="O561" s="11"/>
      <c r="P561" s="133"/>
      <c r="Q561" s="89"/>
      <c r="R561" s="89"/>
      <c r="S561" s="89"/>
      <c r="T561" s="89"/>
      <c r="U561" s="89"/>
      <c r="V561" s="89"/>
      <c r="W561" s="89"/>
    </row>
    <row r="562" spans="14:24" x14ac:dyDescent="0.15">
      <c r="N562" s="133"/>
      <c r="O562" s="11"/>
      <c r="P562" s="133"/>
      <c r="Q562" s="89"/>
      <c r="R562" s="89"/>
      <c r="S562" s="89"/>
      <c r="T562" s="89"/>
      <c r="U562" s="89"/>
      <c r="V562" s="89"/>
      <c r="W562" s="89"/>
    </row>
    <row r="563" spans="14:24" x14ac:dyDescent="0.15">
      <c r="N563" s="133"/>
      <c r="O563" s="11"/>
      <c r="P563" s="133"/>
      <c r="Q563" s="89"/>
      <c r="R563" s="11"/>
      <c r="S563" s="11"/>
      <c r="T563" s="11"/>
      <c r="U563" s="11"/>
    </row>
    <row r="564" spans="14:24" x14ac:dyDescent="0.15">
      <c r="N564" s="133"/>
      <c r="O564" s="11"/>
      <c r="P564" s="133"/>
      <c r="Q564" s="89"/>
      <c r="R564" s="89"/>
      <c r="S564" s="89"/>
      <c r="T564" s="89"/>
      <c r="U564" s="89"/>
      <c r="V564" s="89"/>
      <c r="W564" s="89"/>
    </row>
    <row r="565" spans="14:24" x14ac:dyDescent="0.15">
      <c r="N565" s="133"/>
      <c r="O565" s="11"/>
      <c r="P565" s="133"/>
      <c r="Q565" s="11"/>
      <c r="R565" s="89"/>
      <c r="S565" s="89"/>
      <c r="T565" s="89"/>
      <c r="U565" s="89"/>
      <c r="V565" s="89"/>
      <c r="W565" s="89"/>
    </row>
    <row r="566" spans="14:24" x14ac:dyDescent="0.15">
      <c r="N566" s="133"/>
      <c r="O566" s="11"/>
      <c r="P566" s="133"/>
      <c r="Q566" s="89"/>
      <c r="R566" s="89"/>
      <c r="S566" s="89"/>
      <c r="T566" s="89"/>
      <c r="U566" s="89"/>
      <c r="V566" s="89"/>
      <c r="W566" s="89"/>
    </row>
    <row r="567" spans="14:24" x14ac:dyDescent="0.15">
      <c r="N567" s="133"/>
      <c r="O567" s="11"/>
      <c r="P567" s="133"/>
      <c r="Q567" s="89"/>
      <c r="R567" s="89"/>
      <c r="S567" s="89"/>
      <c r="T567" s="89"/>
      <c r="U567" s="89"/>
      <c r="V567" s="89"/>
      <c r="W567" s="89"/>
      <c r="X567" s="1214"/>
    </row>
    <row r="568" spans="14:24" x14ac:dyDescent="0.15">
      <c r="N568" s="133"/>
      <c r="O568" s="11"/>
      <c r="P568" s="133"/>
      <c r="Q568" s="89"/>
      <c r="R568" s="89"/>
      <c r="S568" s="89"/>
      <c r="T568" s="89"/>
      <c r="U568" s="89"/>
      <c r="V568" s="89"/>
      <c r="W568" s="89"/>
      <c r="X568" s="1214"/>
    </row>
    <row r="569" spans="14:24" x14ac:dyDescent="0.15">
      <c r="N569" s="133"/>
      <c r="O569" s="11"/>
      <c r="P569" s="133"/>
      <c r="Q569" s="89"/>
      <c r="R569" s="89"/>
      <c r="S569" s="89"/>
      <c r="T569" s="89"/>
      <c r="U569" s="89"/>
      <c r="V569" s="89"/>
      <c r="W569" s="89"/>
      <c r="X569" s="1214"/>
    </row>
    <row r="570" spans="14:24" x14ac:dyDescent="0.15">
      <c r="N570" s="133"/>
      <c r="O570" s="11"/>
      <c r="P570" s="133"/>
      <c r="Q570" s="89"/>
      <c r="R570" s="89"/>
      <c r="S570" s="89"/>
      <c r="T570" s="89"/>
      <c r="U570" s="89"/>
      <c r="V570" s="89"/>
      <c r="W570" s="89"/>
    </row>
    <row r="571" spans="14:24" x14ac:dyDescent="0.15">
      <c r="N571" s="133"/>
      <c r="O571" s="11"/>
      <c r="P571" s="133"/>
      <c r="Q571" s="89"/>
      <c r="R571" s="89"/>
      <c r="S571" s="89"/>
      <c r="T571" s="89"/>
      <c r="U571" s="89"/>
      <c r="V571" s="89"/>
      <c r="W571" s="89"/>
    </row>
    <row r="572" spans="14:24" x14ac:dyDescent="0.15">
      <c r="N572" s="133"/>
      <c r="O572" s="11"/>
      <c r="P572" s="133"/>
      <c r="Q572" s="89"/>
      <c r="R572" s="89"/>
      <c r="S572" s="89"/>
      <c r="T572" s="89"/>
      <c r="U572" s="89"/>
      <c r="V572" s="89"/>
      <c r="W572" s="89"/>
    </row>
    <row r="573" spans="14:24" x14ac:dyDescent="0.15">
      <c r="N573" s="133"/>
      <c r="O573" s="11"/>
      <c r="P573" s="133"/>
      <c r="Q573" s="89"/>
      <c r="R573" s="89"/>
      <c r="S573" s="89"/>
      <c r="T573" s="89"/>
      <c r="U573" s="89"/>
      <c r="V573" s="89"/>
      <c r="W573" s="89"/>
    </row>
    <row r="574" spans="14:24" x14ac:dyDescent="0.15">
      <c r="N574" s="133"/>
      <c r="O574" s="11"/>
      <c r="P574" s="133"/>
      <c r="Q574" s="89"/>
      <c r="R574" s="89"/>
      <c r="S574" s="89"/>
      <c r="T574" s="89"/>
      <c r="U574" s="89"/>
      <c r="V574" s="89"/>
      <c r="W574" s="89"/>
    </row>
    <row r="575" spans="14:24" x14ac:dyDescent="0.15">
      <c r="N575" s="133"/>
      <c r="O575" s="11"/>
      <c r="P575" s="133"/>
      <c r="Q575" s="89"/>
    </row>
    <row r="576" spans="14:24" x14ac:dyDescent="0.15">
      <c r="N576" s="133"/>
      <c r="O576" s="11"/>
      <c r="P576" s="133"/>
      <c r="Q576" s="89"/>
    </row>
    <row r="577" spans="15:23" x14ac:dyDescent="0.15">
      <c r="O577" s="11"/>
      <c r="P577" s="133"/>
      <c r="R577" s="78"/>
      <c r="V577" s="78"/>
      <c r="W577" s="78"/>
    </row>
    <row r="578" spans="15:23" x14ac:dyDescent="0.15">
      <c r="O578" s="11"/>
    </row>
  </sheetData>
  <mergeCells count="26">
    <mergeCell ref="T473:U473"/>
    <mergeCell ref="AA533:AE533"/>
    <mergeCell ref="B505:M505"/>
    <mergeCell ref="V473:W473"/>
    <mergeCell ref="B3:M3"/>
    <mergeCell ref="B4:E4"/>
    <mergeCell ref="B5:E5"/>
    <mergeCell ref="G4:M4"/>
    <mergeCell ref="G5:M5"/>
    <mergeCell ref="B8:M8"/>
    <mergeCell ref="B9:M9"/>
    <mergeCell ref="B40:M40"/>
    <mergeCell ref="B41:M41"/>
    <mergeCell ref="B488:M488"/>
    <mergeCell ref="B110:M110"/>
    <mergeCell ref="B111:M111"/>
    <mergeCell ref="B298:M298"/>
    <mergeCell ref="B241:M241"/>
    <mergeCell ref="B217:M217"/>
    <mergeCell ref="B160:M160"/>
    <mergeCell ref="B297:M297"/>
    <mergeCell ref="B113:M113"/>
    <mergeCell ref="B269:M269"/>
    <mergeCell ref="B1:M1"/>
    <mergeCell ref="B2:M2"/>
    <mergeCell ref="N1:O1"/>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101" min="1" max="6" man="1"/>
    <brk id="185" min="1" max="6" man="1"/>
    <brk id="286" min="1" max="6" man="1"/>
    <brk id="347" min="1" max="6" man="1"/>
    <brk id="395" min="1" max="6" man="1"/>
    <brk id="449" min="1" max="6" man="1"/>
  </rowBreaks>
  <drawing r:id="rId2"/>
  <legacyDrawing r:id="rId3"/>
  <extLst>
    <ext xmlns:x14="http://schemas.microsoft.com/office/spreadsheetml/2009/9/main" uri="{CCE6A557-97BC-4b89-ADB6-D9C93CAAB3DF}">
      <x14:dataValidations xmlns:xm="http://schemas.microsoft.com/office/excel/2006/main" disablePrompts="1" count="1">
        <x14:dataValidation type="list" showInputMessage="1" showErrorMessage="1" xr:uid="{00000000-0002-0000-0400-000000000000}">
          <x14:formula1>
            <xm:f>Lists!$BA$25:$BA$27</xm:f>
          </x14:formula1>
          <xm:sqref>G13:M13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51"/>
  <sheetViews>
    <sheetView workbookViewId="0">
      <pane ySplit="6" topLeftCell="A7" activePane="bottomLeft" state="frozen"/>
      <selection pane="bottomLeft" activeCell="B6" sqref="B6"/>
    </sheetView>
  </sheetViews>
  <sheetFormatPr baseColWidth="10" defaultColWidth="8.5" defaultRowHeight="13" x14ac:dyDescent="0.15"/>
  <cols>
    <col min="1" max="1" width="8.5" style="8"/>
    <col min="2" max="2" width="37.5" style="8" customWidth="1"/>
    <col min="3" max="3" width="12" style="46" customWidth="1"/>
    <col min="4" max="4" width="13.5" style="8" bestFit="1" customWidth="1"/>
    <col min="5" max="5" width="10.5" style="8" customWidth="1"/>
    <col min="6" max="6" width="11.5" style="8" customWidth="1"/>
    <col min="7" max="7" width="13" style="8" customWidth="1"/>
    <col min="8" max="8" width="11.5" style="8" customWidth="1"/>
    <col min="9" max="9" width="15.5" style="8" customWidth="1"/>
    <col min="10" max="10" width="13.5" style="8" bestFit="1" customWidth="1"/>
    <col min="11" max="11" width="11.5" style="8" bestFit="1" customWidth="1"/>
    <col min="12" max="13" width="11" style="8" bestFit="1" customWidth="1"/>
    <col min="14" max="15" width="17.5" style="8" bestFit="1" customWidth="1"/>
    <col min="16" max="16" width="26.5" style="8" customWidth="1"/>
    <col min="17" max="18" width="17.5" style="8" bestFit="1" customWidth="1"/>
    <col min="19" max="19" width="13.5" style="8" customWidth="1"/>
    <col min="20" max="16384" width="8.5" style="8"/>
  </cols>
  <sheetData>
    <row r="1" spans="2:16" ht="19" thickBot="1" x14ac:dyDescent="0.25">
      <c r="B1" s="1331" t="s">
        <v>939</v>
      </c>
      <c r="C1" s="1332"/>
      <c r="D1" s="1332"/>
      <c r="E1" s="1332"/>
      <c r="F1" s="1332"/>
      <c r="G1" s="1332"/>
      <c r="H1" s="1332"/>
      <c r="I1" s="1332"/>
      <c r="J1" s="1332"/>
      <c r="K1" s="1332"/>
      <c r="L1" s="1332"/>
      <c r="M1" s="1332"/>
      <c r="N1" s="1260" t="s">
        <v>9</v>
      </c>
      <c r="O1" s="1261"/>
      <c r="P1"/>
    </row>
    <row r="2" spans="2:16" ht="17" thickBot="1" x14ac:dyDescent="0.25">
      <c r="B2" s="1270" t="str">
        <f>Dashboard!B2</f>
        <v>EV with NMC532-G (Power) Electrodes</v>
      </c>
      <c r="C2" s="1271"/>
      <c r="D2" s="1271"/>
      <c r="E2" s="1271"/>
      <c r="F2" s="1271"/>
      <c r="G2" s="1271"/>
      <c r="H2" s="1271"/>
      <c r="I2" s="1271"/>
      <c r="J2" s="1271"/>
      <c r="K2" s="1271"/>
      <c r="L2" s="1271"/>
      <c r="M2" s="1272"/>
      <c r="N2" s="987" t="s">
        <v>8</v>
      </c>
      <c r="O2" s="988" t="s">
        <v>10</v>
      </c>
      <c r="P2"/>
    </row>
    <row r="3" spans="2:16" ht="16" x14ac:dyDescent="0.2">
      <c r="B3" s="1333" t="s">
        <v>132</v>
      </c>
      <c r="C3" s="1334"/>
      <c r="D3" s="1334"/>
      <c r="E3" s="1334"/>
      <c r="F3" s="1334"/>
      <c r="G3" s="1334"/>
      <c r="H3" s="1334"/>
      <c r="I3" s="1334"/>
      <c r="J3" s="1334"/>
      <c r="K3" s="1334"/>
      <c r="L3" s="1334"/>
      <c r="M3" s="1334"/>
      <c r="N3" s="989" t="s">
        <v>15</v>
      </c>
      <c r="O3" s="988" t="s">
        <v>16</v>
      </c>
      <c r="P3"/>
    </row>
    <row r="4" spans="2:16" x14ac:dyDescent="0.15">
      <c r="B4" s="1293" t="s">
        <v>298</v>
      </c>
      <c r="C4" s="1320"/>
      <c r="D4" s="1320"/>
      <c r="E4" s="1321"/>
      <c r="F4" s="180"/>
      <c r="G4" s="1294" t="s">
        <v>12</v>
      </c>
      <c r="H4" s="1325"/>
      <c r="I4" s="1325"/>
      <c r="J4" s="1325"/>
      <c r="K4" s="1325"/>
      <c r="L4" s="1325"/>
      <c r="M4" s="1325"/>
      <c r="N4" s="986" t="s">
        <v>17</v>
      </c>
      <c r="O4" s="988" t="s">
        <v>18</v>
      </c>
      <c r="P4"/>
    </row>
    <row r="5" spans="2:16" ht="14" thickBot="1" x14ac:dyDescent="0.2">
      <c r="B5" s="1296" t="s">
        <v>13</v>
      </c>
      <c r="C5" s="1329"/>
      <c r="D5" s="1329"/>
      <c r="E5" s="1330"/>
      <c r="F5" s="185"/>
      <c r="G5" s="1297" t="s">
        <v>14</v>
      </c>
      <c r="H5" s="1327"/>
      <c r="I5" s="1327"/>
      <c r="J5" s="1327"/>
      <c r="K5" s="1327"/>
      <c r="L5" s="1327"/>
      <c r="M5" s="1327"/>
      <c r="N5" s="986" t="s">
        <v>20</v>
      </c>
      <c r="O5" s="992" t="s">
        <v>21</v>
      </c>
      <c r="P5"/>
    </row>
    <row r="6" spans="2:16" ht="17" thickBot="1" x14ac:dyDescent="0.25">
      <c r="B6"/>
      <c r="C6"/>
      <c r="D6"/>
      <c r="E6"/>
      <c r="F6"/>
      <c r="G6" s="123" t="s">
        <v>56</v>
      </c>
      <c r="H6" s="123" t="s">
        <v>57</v>
      </c>
      <c r="I6" s="123" t="s">
        <v>58</v>
      </c>
      <c r="J6" s="123" t="s">
        <v>59</v>
      </c>
      <c r="K6" s="123" t="s">
        <v>60</v>
      </c>
      <c r="L6" s="123" t="s">
        <v>61</v>
      </c>
      <c r="M6" s="123" t="s">
        <v>62</v>
      </c>
      <c r="N6" s="990" t="s">
        <v>25</v>
      </c>
      <c r="O6" s="991" t="s">
        <v>26</v>
      </c>
    </row>
    <row r="8" spans="2:16" ht="16" x14ac:dyDescent="0.2">
      <c r="B8" s="5" t="s">
        <v>940</v>
      </c>
      <c r="C8" s="8"/>
    </row>
    <row r="9" spans="2:16" x14ac:dyDescent="0.15">
      <c r="B9" s="8" t="s">
        <v>82</v>
      </c>
      <c r="G9" s="175">
        <f>'Battery Design'!G25</f>
        <v>20</v>
      </c>
      <c r="H9" s="175">
        <f>'Battery Design'!H25</f>
        <v>20</v>
      </c>
      <c r="I9" s="175">
        <f>'Battery Design'!I25</f>
        <v>20</v>
      </c>
      <c r="J9" s="175">
        <f>'Battery Design'!J25</f>
        <v>20</v>
      </c>
      <c r="K9" s="175">
        <f>'Battery Design'!K25</f>
        <v>20</v>
      </c>
      <c r="L9" s="175">
        <f>'Battery Design'!L25</f>
        <v>20</v>
      </c>
      <c r="M9" s="175">
        <f>'Battery Design'!M25</f>
        <v>20</v>
      </c>
    </row>
    <row r="10" spans="2:16" x14ac:dyDescent="0.15">
      <c r="B10" s="8" t="s">
        <v>83</v>
      </c>
      <c r="G10" s="175">
        <f>'Battery Design'!G26</f>
        <v>2</v>
      </c>
      <c r="H10" s="175">
        <f>'Battery Design'!H26</f>
        <v>2</v>
      </c>
      <c r="I10" s="175">
        <f>'Battery Design'!I26</f>
        <v>2</v>
      </c>
      <c r="J10" s="175">
        <f>'Battery Design'!J26</f>
        <v>2</v>
      </c>
      <c r="K10" s="175">
        <f>'Battery Design'!K26</f>
        <v>2</v>
      </c>
      <c r="L10" s="175">
        <f>'Battery Design'!L26</f>
        <v>2</v>
      </c>
      <c r="M10" s="175">
        <f>'Battery Design'!M26</f>
        <v>2</v>
      </c>
    </row>
    <row r="11" spans="2:16" x14ac:dyDescent="0.15">
      <c r="B11" s="8" t="s">
        <v>84</v>
      </c>
      <c r="G11" s="175">
        <f>'Battery Design'!G27</f>
        <v>5</v>
      </c>
      <c r="H11" s="175">
        <f>'Battery Design'!H27</f>
        <v>5</v>
      </c>
      <c r="I11" s="175">
        <f>'Battery Design'!I27</f>
        <v>5</v>
      </c>
      <c r="J11" s="175">
        <f>'Battery Design'!J27</f>
        <v>5</v>
      </c>
      <c r="K11" s="175">
        <f>'Battery Design'!K27</f>
        <v>5</v>
      </c>
      <c r="L11" s="175">
        <f>'Battery Design'!L27</f>
        <v>5</v>
      </c>
      <c r="M11" s="175">
        <f>'Battery Design'!M27</f>
        <v>5</v>
      </c>
    </row>
    <row r="12" spans="2:16" x14ac:dyDescent="0.15">
      <c r="B12" s="8" t="s">
        <v>85</v>
      </c>
      <c r="G12" s="175">
        <f>'Battery Design'!G28</f>
        <v>4</v>
      </c>
      <c r="H12" s="175">
        <f>'Battery Design'!H28</f>
        <v>4</v>
      </c>
      <c r="I12" s="175">
        <f>'Battery Design'!I28</f>
        <v>4</v>
      </c>
      <c r="J12" s="175">
        <f>'Battery Design'!J28</f>
        <v>4</v>
      </c>
      <c r="K12" s="175">
        <f>'Battery Design'!K28</f>
        <v>4</v>
      </c>
      <c r="L12" s="175">
        <f>'Battery Design'!L28</f>
        <v>4</v>
      </c>
      <c r="M12" s="175">
        <f>'Battery Design'!M28</f>
        <v>4</v>
      </c>
    </row>
    <row r="13" spans="2:16" x14ac:dyDescent="0.15">
      <c r="B13" s="8" t="s">
        <v>941</v>
      </c>
      <c r="G13" s="175">
        <f>'Battery Design'!G29</f>
        <v>20</v>
      </c>
      <c r="H13" s="175">
        <f>'Battery Design'!H29</f>
        <v>20</v>
      </c>
      <c r="I13" s="175">
        <f>'Battery Design'!I29</f>
        <v>20</v>
      </c>
      <c r="J13" s="175">
        <f>'Battery Design'!J29</f>
        <v>20</v>
      </c>
      <c r="K13" s="175">
        <f>'Battery Design'!K29</f>
        <v>20</v>
      </c>
      <c r="L13" s="175">
        <f>'Battery Design'!L29</f>
        <v>20</v>
      </c>
      <c r="M13" s="175">
        <f>'Battery Design'!M29</f>
        <v>20</v>
      </c>
    </row>
    <row r="14" spans="2:16" x14ac:dyDescent="0.15">
      <c r="B14" s="8" t="s">
        <v>86</v>
      </c>
      <c r="G14" s="175">
        <f>'Battery Design'!G30</f>
        <v>2</v>
      </c>
      <c r="H14" s="175">
        <f>'Battery Design'!H30</f>
        <v>2</v>
      </c>
      <c r="I14" s="175">
        <f>'Battery Design'!I30</f>
        <v>2</v>
      </c>
      <c r="J14" s="175">
        <f>'Battery Design'!J30</f>
        <v>2</v>
      </c>
      <c r="K14" s="175">
        <f>'Battery Design'!K30</f>
        <v>2</v>
      </c>
      <c r="L14" s="175">
        <f>'Battery Design'!L30</f>
        <v>2</v>
      </c>
      <c r="M14" s="175">
        <f>'Battery Design'!M30</f>
        <v>2</v>
      </c>
    </row>
    <row r="15" spans="2:16" x14ac:dyDescent="0.15">
      <c r="B15" s="8" t="s">
        <v>942</v>
      </c>
      <c r="G15" s="11">
        <f>'Battery Design'!G31</f>
        <v>400</v>
      </c>
      <c r="H15" s="11">
        <f>'Battery Design'!H31</f>
        <v>400</v>
      </c>
      <c r="I15" s="11">
        <f>'Battery Design'!I31</f>
        <v>400</v>
      </c>
      <c r="J15" s="11">
        <f>'Battery Design'!J31</f>
        <v>400</v>
      </c>
      <c r="K15" s="11">
        <f>'Battery Design'!K31</f>
        <v>400</v>
      </c>
      <c r="L15" s="11">
        <f>'Battery Design'!L31</f>
        <v>400</v>
      </c>
      <c r="M15" s="11">
        <f>'Battery Design'!M31</f>
        <v>400</v>
      </c>
    </row>
    <row r="16" spans="2:16" x14ac:dyDescent="0.15">
      <c r="B16" s="8" t="s">
        <v>943</v>
      </c>
      <c r="G16" s="66">
        <f ca="1">'Battery Design'!G35</f>
        <v>67.939713246199872</v>
      </c>
      <c r="H16" s="66">
        <f ca="1">'Battery Design'!H35</f>
        <v>67.939713246199872</v>
      </c>
      <c r="I16" s="66">
        <f ca="1">'Battery Design'!I35</f>
        <v>67.939713246199872</v>
      </c>
      <c r="J16" s="66">
        <f ca="1">'Battery Design'!J35</f>
        <v>67.939713246199872</v>
      </c>
      <c r="K16" s="66">
        <f ca="1">'Battery Design'!K35</f>
        <v>67.939713246199872</v>
      </c>
      <c r="L16" s="66">
        <f ca="1">'Battery Design'!L35</f>
        <v>67.939713246199872</v>
      </c>
      <c r="M16" s="66">
        <f ca="1">'Battery Design'!M35</f>
        <v>67.939713246199872</v>
      </c>
    </row>
    <row r="17" spans="2:14" x14ac:dyDescent="0.15">
      <c r="B17" s="8" t="s">
        <v>121</v>
      </c>
      <c r="G17" s="66">
        <f ca="1">'Battery Design'!G35</f>
        <v>67.939713246199872</v>
      </c>
      <c r="H17" s="66">
        <f ca="1">'Battery Design'!H35</f>
        <v>67.939713246199872</v>
      </c>
      <c r="I17" s="66">
        <f ca="1">'Battery Design'!I35</f>
        <v>67.939713246199872</v>
      </c>
      <c r="J17" s="66">
        <f ca="1">'Battery Design'!J35</f>
        <v>67.939713246199872</v>
      </c>
      <c r="K17" s="66">
        <f ca="1">'Battery Design'!K35</f>
        <v>67.939713246199872</v>
      </c>
      <c r="L17" s="66">
        <f ca="1">'Battery Design'!L35</f>
        <v>67.939713246199872</v>
      </c>
      <c r="M17" s="66">
        <f ca="1">'Battery Design'!M35</f>
        <v>67.939713246199872</v>
      </c>
    </row>
    <row r="18" spans="2:14" x14ac:dyDescent="0.15">
      <c r="B18" s="8" t="s">
        <v>192</v>
      </c>
      <c r="G18" s="66">
        <f ca="1">'Battery Design'!G36</f>
        <v>135.87942649237613</v>
      </c>
      <c r="H18" s="66">
        <f ca="1">'Battery Design'!H36</f>
        <v>135.87942649237613</v>
      </c>
      <c r="I18" s="66">
        <f ca="1">'Battery Design'!I36</f>
        <v>135.87942649237613</v>
      </c>
      <c r="J18" s="66">
        <f ca="1">'Battery Design'!J36</f>
        <v>135.87942649237613</v>
      </c>
      <c r="K18" s="66">
        <f ca="1">'Battery Design'!K36</f>
        <v>135.87942649237613</v>
      </c>
      <c r="L18" s="66">
        <f ca="1">'Battery Design'!L36</f>
        <v>135.87942649237613</v>
      </c>
      <c r="M18" s="66">
        <f ca="1">'Battery Design'!M36</f>
        <v>135.87942649237613</v>
      </c>
    </row>
    <row r="19" spans="2:14" x14ac:dyDescent="0.15">
      <c r="B19" s="8" t="s">
        <v>944</v>
      </c>
      <c r="G19" s="11">
        <f ca="1">'Battery Design'!G226</f>
        <v>416.29683928795237</v>
      </c>
      <c r="H19" s="11">
        <f ca="1">'Battery Design'!H226</f>
        <v>416.29683928795237</v>
      </c>
      <c r="I19" s="11">
        <f ca="1">'Battery Design'!I226</f>
        <v>416.29683928795237</v>
      </c>
      <c r="J19" s="11">
        <f ca="1">'Battery Design'!J226</f>
        <v>416.29683928795237</v>
      </c>
      <c r="K19" s="11">
        <f ca="1">'Battery Design'!K226</f>
        <v>416.29683928795237</v>
      </c>
      <c r="L19" s="11">
        <f ca="1">'Battery Design'!L226</f>
        <v>416.29683928795237</v>
      </c>
      <c r="M19" s="11">
        <f ca="1">'Battery Design'!M226</f>
        <v>416.29683928795237</v>
      </c>
    </row>
    <row r="20" spans="2:14" x14ac:dyDescent="0.15">
      <c r="B20" s="8" t="s">
        <v>945</v>
      </c>
      <c r="G20" s="11">
        <f ca="1">'Battery Design'!G16</f>
        <v>370.46640670027602</v>
      </c>
      <c r="H20" s="11">
        <f ca="1">'Battery Design'!H16</f>
        <v>370.46640670027602</v>
      </c>
      <c r="I20" s="11">
        <f ca="1">'Battery Design'!I16</f>
        <v>370.46640670027602</v>
      </c>
      <c r="J20" s="11">
        <f ca="1">'Battery Design'!J16</f>
        <v>370.46640670027602</v>
      </c>
      <c r="K20" s="11">
        <f ca="1">'Battery Design'!K16</f>
        <v>370.46640670027602</v>
      </c>
      <c r="L20" s="11">
        <f ca="1">'Battery Design'!L16</f>
        <v>370.46640670027602</v>
      </c>
      <c r="M20" s="11">
        <f ca="1">'Battery Design'!M16</f>
        <v>370.46640670027602</v>
      </c>
    </row>
    <row r="21" spans="2:14" x14ac:dyDescent="0.15">
      <c r="B21" s="8" t="s">
        <v>946</v>
      </c>
      <c r="G21" s="46">
        <f>G9/G10*G13/G14</f>
        <v>100</v>
      </c>
      <c r="H21" s="46">
        <f t="shared" ref="H21:M21" si="0">H9/H10*H13/H14</f>
        <v>100</v>
      </c>
      <c r="I21" s="46">
        <f t="shared" si="0"/>
        <v>100</v>
      </c>
      <c r="J21" s="46">
        <f t="shared" si="0"/>
        <v>100</v>
      </c>
      <c r="K21" s="46">
        <f t="shared" si="0"/>
        <v>100</v>
      </c>
      <c r="L21" s="46">
        <f t="shared" si="0"/>
        <v>100</v>
      </c>
      <c r="M21" s="46">
        <f t="shared" si="0"/>
        <v>100</v>
      </c>
    </row>
    <row r="22" spans="2:14" x14ac:dyDescent="0.15">
      <c r="B22" s="8" t="s">
        <v>947</v>
      </c>
      <c r="G22" s="333">
        <v>10</v>
      </c>
      <c r="H22" s="333">
        <v>10</v>
      </c>
      <c r="I22" s="333">
        <v>10</v>
      </c>
      <c r="J22" s="333">
        <v>10</v>
      </c>
      <c r="K22" s="333">
        <v>10</v>
      </c>
      <c r="L22" s="333">
        <v>10</v>
      </c>
      <c r="M22" s="333">
        <v>10</v>
      </c>
    </row>
    <row r="23" spans="2:14" x14ac:dyDescent="0.15">
      <c r="B23" s="8" t="s">
        <v>948</v>
      </c>
      <c r="G23" s="46">
        <f>ROUNDUP(G21/G22,0)</f>
        <v>10</v>
      </c>
      <c r="H23" s="46">
        <f t="shared" ref="H23:M23" si="1">ROUNDUP(H21/H22,0)</f>
        <v>10</v>
      </c>
      <c r="I23" s="46">
        <f t="shared" si="1"/>
        <v>10</v>
      </c>
      <c r="J23" s="46">
        <f t="shared" si="1"/>
        <v>10</v>
      </c>
      <c r="K23" s="46">
        <f t="shared" si="1"/>
        <v>10</v>
      </c>
      <c r="L23" s="46">
        <f t="shared" si="1"/>
        <v>10</v>
      </c>
      <c r="M23" s="46">
        <f t="shared" si="1"/>
        <v>10</v>
      </c>
      <c r="N23" s="562"/>
    </row>
    <row r="24" spans="2:14" x14ac:dyDescent="0.15">
      <c r="B24" s="8" t="s">
        <v>949</v>
      </c>
      <c r="G24" s="1023">
        <f>Dashboard!D110</f>
        <v>500000</v>
      </c>
      <c r="H24" s="1023">
        <f>Dashboard!E110</f>
        <v>500000</v>
      </c>
      <c r="I24" s="1023">
        <f>Dashboard!F110</f>
        <v>500000</v>
      </c>
      <c r="J24" s="1023">
        <f>Dashboard!G110</f>
        <v>500000</v>
      </c>
      <c r="K24" s="1023">
        <f>Dashboard!H110</f>
        <v>500000</v>
      </c>
      <c r="L24" s="1023">
        <f>Dashboard!I110</f>
        <v>500000</v>
      </c>
      <c r="M24" s="1023">
        <f>Dashboard!J110</f>
        <v>500000</v>
      </c>
    </row>
    <row r="25" spans="2:14" ht="14" thickBot="1" x14ac:dyDescent="0.2">
      <c r="C25" s="330"/>
      <c r="D25" s="330"/>
      <c r="E25" s="330"/>
      <c r="F25" s="330"/>
      <c r="G25" s="330"/>
      <c r="H25" s="330"/>
      <c r="I25" s="330"/>
    </row>
    <row r="26" spans="2:14" ht="21" thickBot="1" x14ac:dyDescent="0.25">
      <c r="B26" s="1262" t="s">
        <v>950</v>
      </c>
      <c r="C26" s="1263"/>
      <c r="D26" s="1263"/>
      <c r="E26" s="1263"/>
      <c r="F26" s="1263"/>
      <c r="G26" s="1263"/>
      <c r="H26" s="1263"/>
      <c r="I26" s="1263"/>
      <c r="J26" s="1263"/>
      <c r="K26" s="1263"/>
      <c r="L26" s="1263"/>
      <c r="M26" s="1264"/>
    </row>
    <row r="28" spans="2:14" ht="16" x14ac:dyDescent="0.2">
      <c r="B28" s="5" t="s">
        <v>951</v>
      </c>
      <c r="C28" s="5"/>
      <c r="D28" s="5"/>
      <c r="E28" s="5"/>
      <c r="F28" s="5"/>
      <c r="G28" s="5"/>
      <c r="H28" s="5"/>
      <c r="I28" s="5"/>
    </row>
    <row r="29" spans="2:14" ht="15" x14ac:dyDescent="0.2">
      <c r="B29" s="507" t="s">
        <v>952</v>
      </c>
      <c r="C29" s="558"/>
      <c r="D29" s="558"/>
      <c r="E29" s="558"/>
      <c r="F29" s="558"/>
      <c r="G29" s="558"/>
      <c r="H29" s="558"/>
      <c r="I29" s="558"/>
    </row>
    <row r="30" spans="2:14" x14ac:dyDescent="0.15">
      <c r="B30" s="8" t="s">
        <v>953</v>
      </c>
      <c r="C30" s="8"/>
      <c r="G30" s="8">
        <f t="shared" ref="G30:M39" si="2">$I160*($F160 + ROUNDUP(G$23*$G160 - $H160, 0))</f>
        <v>1</v>
      </c>
      <c r="H30" s="8">
        <f t="shared" si="2"/>
        <v>1</v>
      </c>
      <c r="I30" s="8">
        <f t="shared" si="2"/>
        <v>1</v>
      </c>
      <c r="J30" s="8">
        <f t="shared" si="2"/>
        <v>1</v>
      </c>
      <c r="K30" s="8">
        <f t="shared" si="2"/>
        <v>1</v>
      </c>
      <c r="L30" s="8">
        <f t="shared" si="2"/>
        <v>1</v>
      </c>
      <c r="M30" s="8">
        <f t="shared" si="2"/>
        <v>1</v>
      </c>
    </row>
    <row r="31" spans="2:14" x14ac:dyDescent="0.15">
      <c r="B31" s="8" t="s">
        <v>954</v>
      </c>
      <c r="C31" s="8"/>
      <c r="G31" s="8">
        <f>$I161*($F161 + ROUNDUP(G$23*$G161 - $H161, 0))</f>
        <v>6</v>
      </c>
      <c r="H31" s="8">
        <f t="shared" si="2"/>
        <v>6</v>
      </c>
      <c r="I31" s="8">
        <f t="shared" si="2"/>
        <v>6</v>
      </c>
      <c r="J31" s="8">
        <f t="shared" si="2"/>
        <v>6</v>
      </c>
      <c r="K31" s="8">
        <f t="shared" si="2"/>
        <v>6</v>
      </c>
      <c r="L31" s="8">
        <f t="shared" si="2"/>
        <v>6</v>
      </c>
      <c r="M31" s="8">
        <f t="shared" si="2"/>
        <v>6</v>
      </c>
    </row>
    <row r="32" spans="2:14" x14ac:dyDescent="0.15">
      <c r="B32" s="8" t="s">
        <v>955</v>
      </c>
      <c r="C32" s="8"/>
      <c r="G32" s="8">
        <f t="shared" si="2"/>
        <v>1</v>
      </c>
      <c r="H32" s="8">
        <f t="shared" si="2"/>
        <v>1</v>
      </c>
      <c r="I32" s="8">
        <f t="shared" si="2"/>
        <v>1</v>
      </c>
      <c r="J32" s="8">
        <f t="shared" si="2"/>
        <v>1</v>
      </c>
      <c r="K32" s="8">
        <f t="shared" si="2"/>
        <v>1</v>
      </c>
      <c r="L32" s="8">
        <f t="shared" si="2"/>
        <v>1</v>
      </c>
      <c r="M32" s="8">
        <f t="shared" si="2"/>
        <v>1</v>
      </c>
    </row>
    <row r="33" spans="2:13" x14ac:dyDescent="0.15">
      <c r="B33" s="8" t="s">
        <v>956</v>
      </c>
      <c r="C33" s="8"/>
      <c r="G33" s="8">
        <f t="shared" si="2"/>
        <v>4</v>
      </c>
      <c r="H33" s="8">
        <f t="shared" si="2"/>
        <v>4</v>
      </c>
      <c r="I33" s="8">
        <f t="shared" si="2"/>
        <v>4</v>
      </c>
      <c r="J33" s="8">
        <f t="shared" si="2"/>
        <v>4</v>
      </c>
      <c r="K33" s="8">
        <f t="shared" si="2"/>
        <v>4</v>
      </c>
      <c r="L33" s="8">
        <f t="shared" si="2"/>
        <v>4</v>
      </c>
      <c r="M33" s="8">
        <f t="shared" si="2"/>
        <v>4</v>
      </c>
    </row>
    <row r="34" spans="2:13" x14ac:dyDescent="0.15">
      <c r="B34" s="8" t="s">
        <v>957</v>
      </c>
      <c r="C34" s="8"/>
      <c r="G34" s="8">
        <f t="shared" si="2"/>
        <v>1</v>
      </c>
      <c r="H34" s="8">
        <f t="shared" si="2"/>
        <v>1</v>
      </c>
      <c r="I34" s="8">
        <f t="shared" si="2"/>
        <v>1</v>
      </c>
      <c r="J34" s="8">
        <f t="shared" si="2"/>
        <v>1</v>
      </c>
      <c r="K34" s="8">
        <f t="shared" si="2"/>
        <v>1</v>
      </c>
      <c r="L34" s="8">
        <f t="shared" si="2"/>
        <v>1</v>
      </c>
      <c r="M34" s="8">
        <f t="shared" si="2"/>
        <v>1</v>
      </c>
    </row>
    <row r="35" spans="2:13" x14ac:dyDescent="0.15">
      <c r="B35" s="8" t="s">
        <v>958</v>
      </c>
      <c r="C35" s="8"/>
      <c r="G35" s="8">
        <f t="shared" si="2"/>
        <v>11</v>
      </c>
      <c r="H35" s="8">
        <f t="shared" si="2"/>
        <v>11</v>
      </c>
      <c r="I35" s="8">
        <f t="shared" si="2"/>
        <v>11</v>
      </c>
      <c r="J35" s="8">
        <f t="shared" si="2"/>
        <v>11</v>
      </c>
      <c r="K35" s="8">
        <f t="shared" si="2"/>
        <v>11</v>
      </c>
      <c r="L35" s="8">
        <f t="shared" si="2"/>
        <v>11</v>
      </c>
      <c r="M35" s="8">
        <f t="shared" si="2"/>
        <v>11</v>
      </c>
    </row>
    <row r="36" spans="2:13" x14ac:dyDescent="0.15">
      <c r="B36" s="8" t="s">
        <v>959</v>
      </c>
      <c r="C36" s="8"/>
      <c r="G36" s="8">
        <f t="shared" si="2"/>
        <v>1</v>
      </c>
      <c r="H36" s="8">
        <f t="shared" si="2"/>
        <v>1</v>
      </c>
      <c r="I36" s="8">
        <f t="shared" si="2"/>
        <v>1</v>
      </c>
      <c r="J36" s="8">
        <f t="shared" si="2"/>
        <v>1</v>
      </c>
      <c r="K36" s="8">
        <f t="shared" si="2"/>
        <v>1</v>
      </c>
      <c r="L36" s="8">
        <f t="shared" si="2"/>
        <v>1</v>
      </c>
      <c r="M36" s="8">
        <f t="shared" si="2"/>
        <v>1</v>
      </c>
    </row>
    <row r="37" spans="2:13" x14ac:dyDescent="0.15">
      <c r="B37" s="8" t="s">
        <v>960</v>
      </c>
      <c r="C37" s="8"/>
      <c r="G37" s="8">
        <f t="shared" si="2"/>
        <v>10</v>
      </c>
      <c r="H37" s="8">
        <f t="shared" si="2"/>
        <v>10</v>
      </c>
      <c r="I37" s="8">
        <f t="shared" si="2"/>
        <v>10</v>
      </c>
      <c r="J37" s="8">
        <f t="shared" si="2"/>
        <v>10</v>
      </c>
      <c r="K37" s="8">
        <f t="shared" si="2"/>
        <v>10</v>
      </c>
      <c r="L37" s="8">
        <f t="shared" si="2"/>
        <v>10</v>
      </c>
      <c r="M37" s="8">
        <f t="shared" si="2"/>
        <v>10</v>
      </c>
    </row>
    <row r="38" spans="2:13" x14ac:dyDescent="0.15">
      <c r="B38" s="8" t="s">
        <v>961</v>
      </c>
      <c r="C38" s="8"/>
      <c r="G38" s="8">
        <f t="shared" si="2"/>
        <v>10</v>
      </c>
      <c r="H38" s="8">
        <f t="shared" si="2"/>
        <v>10</v>
      </c>
      <c r="I38" s="8">
        <f t="shared" si="2"/>
        <v>10</v>
      </c>
      <c r="J38" s="8">
        <f t="shared" si="2"/>
        <v>10</v>
      </c>
      <c r="K38" s="8">
        <f t="shared" si="2"/>
        <v>10</v>
      </c>
      <c r="L38" s="8">
        <f t="shared" si="2"/>
        <v>10</v>
      </c>
      <c r="M38" s="8">
        <f t="shared" si="2"/>
        <v>10</v>
      </c>
    </row>
    <row r="39" spans="2:13" x14ac:dyDescent="0.15">
      <c r="B39" s="8" t="s">
        <v>962</v>
      </c>
      <c r="C39" s="8"/>
      <c r="G39" s="8">
        <f t="shared" si="2"/>
        <v>4</v>
      </c>
      <c r="H39" s="8">
        <f t="shared" si="2"/>
        <v>4</v>
      </c>
      <c r="I39" s="8">
        <f t="shared" si="2"/>
        <v>4</v>
      </c>
      <c r="J39" s="8">
        <f t="shared" si="2"/>
        <v>4</v>
      </c>
      <c r="K39" s="8">
        <f t="shared" si="2"/>
        <v>4</v>
      </c>
      <c r="L39" s="8">
        <f t="shared" si="2"/>
        <v>4</v>
      </c>
      <c r="M39" s="8">
        <f t="shared" si="2"/>
        <v>4</v>
      </c>
    </row>
    <row r="40" spans="2:13" x14ac:dyDescent="0.15">
      <c r="B40" s="8" t="s">
        <v>963</v>
      </c>
      <c r="C40" s="8"/>
      <c r="G40" s="8">
        <f t="shared" ref="G40:M49" si="3">$I170*($F170 + ROUNDUP(G$23*$G170 - $H170, 0))</f>
        <v>3</v>
      </c>
      <c r="H40" s="8">
        <f t="shared" si="3"/>
        <v>3</v>
      </c>
      <c r="I40" s="8">
        <f t="shared" si="3"/>
        <v>3</v>
      </c>
      <c r="J40" s="8">
        <f t="shared" si="3"/>
        <v>3</v>
      </c>
      <c r="K40" s="8">
        <f t="shared" si="3"/>
        <v>3</v>
      </c>
      <c r="L40" s="8">
        <f t="shared" si="3"/>
        <v>3</v>
      </c>
      <c r="M40" s="8">
        <f t="shared" si="3"/>
        <v>3</v>
      </c>
    </row>
    <row r="41" spans="2:13" x14ac:dyDescent="0.15">
      <c r="B41" s="8" t="s">
        <v>964</v>
      </c>
      <c r="C41" s="8"/>
      <c r="G41" s="8">
        <f t="shared" si="3"/>
        <v>10</v>
      </c>
      <c r="H41" s="8">
        <f t="shared" si="3"/>
        <v>10</v>
      </c>
      <c r="I41" s="8">
        <f t="shared" si="3"/>
        <v>10</v>
      </c>
      <c r="J41" s="8">
        <f t="shared" si="3"/>
        <v>10</v>
      </c>
      <c r="K41" s="8">
        <f t="shared" si="3"/>
        <v>10</v>
      </c>
      <c r="L41" s="8">
        <f t="shared" si="3"/>
        <v>10</v>
      </c>
      <c r="M41" s="8">
        <f t="shared" si="3"/>
        <v>10</v>
      </c>
    </row>
    <row r="42" spans="2:13" x14ac:dyDescent="0.15">
      <c r="B42" s="8" t="s">
        <v>965</v>
      </c>
      <c r="C42" s="8"/>
      <c r="G42" s="8">
        <f t="shared" si="3"/>
        <v>1</v>
      </c>
      <c r="H42" s="8">
        <f t="shared" si="3"/>
        <v>1</v>
      </c>
      <c r="I42" s="8">
        <f t="shared" si="3"/>
        <v>1</v>
      </c>
      <c r="J42" s="8">
        <f t="shared" si="3"/>
        <v>1</v>
      </c>
      <c r="K42" s="8">
        <f t="shared" si="3"/>
        <v>1</v>
      </c>
      <c r="L42" s="8">
        <f t="shared" si="3"/>
        <v>1</v>
      </c>
      <c r="M42" s="8">
        <f t="shared" si="3"/>
        <v>1</v>
      </c>
    </row>
    <row r="43" spans="2:13" x14ac:dyDescent="0.15">
      <c r="B43" s="8" t="s">
        <v>966</v>
      </c>
      <c r="C43" s="8"/>
      <c r="G43" s="8">
        <f t="shared" si="3"/>
        <v>12</v>
      </c>
      <c r="H43" s="8">
        <f t="shared" si="3"/>
        <v>12</v>
      </c>
      <c r="I43" s="8">
        <f t="shared" si="3"/>
        <v>12</v>
      </c>
      <c r="J43" s="8">
        <f t="shared" si="3"/>
        <v>12</v>
      </c>
      <c r="K43" s="8">
        <f t="shared" si="3"/>
        <v>12</v>
      </c>
      <c r="L43" s="8">
        <f t="shared" si="3"/>
        <v>12</v>
      </c>
      <c r="M43" s="8">
        <f t="shared" si="3"/>
        <v>12</v>
      </c>
    </row>
    <row r="44" spans="2:13" x14ac:dyDescent="0.15">
      <c r="B44" s="8" t="s">
        <v>967</v>
      </c>
      <c r="C44" s="8"/>
      <c r="G44" s="8">
        <f t="shared" si="3"/>
        <v>5</v>
      </c>
      <c r="H44" s="8">
        <f t="shared" si="3"/>
        <v>5</v>
      </c>
      <c r="I44" s="8">
        <f t="shared" si="3"/>
        <v>5</v>
      </c>
      <c r="J44" s="8">
        <f t="shared" si="3"/>
        <v>5</v>
      </c>
      <c r="K44" s="8">
        <f t="shared" si="3"/>
        <v>5</v>
      </c>
      <c r="L44" s="8">
        <f t="shared" si="3"/>
        <v>5</v>
      </c>
      <c r="M44" s="8">
        <f t="shared" si="3"/>
        <v>5</v>
      </c>
    </row>
    <row r="45" spans="2:13" x14ac:dyDescent="0.15">
      <c r="B45" s="8" t="s">
        <v>968</v>
      </c>
      <c r="C45" s="8"/>
      <c r="G45" s="8">
        <f t="shared" si="3"/>
        <v>4</v>
      </c>
      <c r="H45" s="8">
        <f t="shared" si="3"/>
        <v>4</v>
      </c>
      <c r="I45" s="8">
        <f t="shared" si="3"/>
        <v>4</v>
      </c>
      <c r="J45" s="8">
        <f t="shared" si="3"/>
        <v>4</v>
      </c>
      <c r="K45" s="8">
        <f t="shared" si="3"/>
        <v>4</v>
      </c>
      <c r="L45" s="8">
        <f t="shared" si="3"/>
        <v>4</v>
      </c>
      <c r="M45" s="8">
        <f t="shared" si="3"/>
        <v>4</v>
      </c>
    </row>
    <row r="46" spans="2:13" x14ac:dyDescent="0.15">
      <c r="B46" s="8" t="s">
        <v>969</v>
      </c>
      <c r="C46" s="8"/>
      <c r="G46" s="8">
        <f t="shared" si="3"/>
        <v>1</v>
      </c>
      <c r="H46" s="8">
        <f t="shared" si="3"/>
        <v>1</v>
      </c>
      <c r="I46" s="8">
        <f t="shared" si="3"/>
        <v>1</v>
      </c>
      <c r="J46" s="8">
        <f t="shared" si="3"/>
        <v>1</v>
      </c>
      <c r="K46" s="8">
        <f t="shared" si="3"/>
        <v>1</v>
      </c>
      <c r="L46" s="8">
        <f t="shared" si="3"/>
        <v>1</v>
      </c>
      <c r="M46" s="8">
        <f t="shared" si="3"/>
        <v>1</v>
      </c>
    </row>
    <row r="47" spans="2:13" x14ac:dyDescent="0.15">
      <c r="B47" s="8" t="s">
        <v>970</v>
      </c>
      <c r="C47" s="8"/>
      <c r="G47" s="8">
        <f t="shared" si="3"/>
        <v>286</v>
      </c>
      <c r="H47" s="8">
        <f t="shared" si="3"/>
        <v>286</v>
      </c>
      <c r="I47" s="8">
        <f t="shared" si="3"/>
        <v>286</v>
      </c>
      <c r="J47" s="8">
        <f t="shared" si="3"/>
        <v>286</v>
      </c>
      <c r="K47" s="8">
        <f t="shared" si="3"/>
        <v>286</v>
      </c>
      <c r="L47" s="8">
        <f t="shared" si="3"/>
        <v>286</v>
      </c>
      <c r="M47" s="8">
        <f t="shared" si="3"/>
        <v>286</v>
      </c>
    </row>
    <row r="48" spans="2:13" x14ac:dyDescent="0.15">
      <c r="B48" s="8" t="s">
        <v>971</v>
      </c>
      <c r="C48" s="8"/>
      <c r="G48" s="8">
        <f t="shared" si="3"/>
        <v>501</v>
      </c>
      <c r="H48" s="8">
        <f t="shared" si="3"/>
        <v>501</v>
      </c>
      <c r="I48" s="8">
        <f t="shared" si="3"/>
        <v>501</v>
      </c>
      <c r="J48" s="8">
        <f t="shared" si="3"/>
        <v>501</v>
      </c>
      <c r="K48" s="8">
        <f t="shared" si="3"/>
        <v>501</v>
      </c>
      <c r="L48" s="8">
        <f t="shared" si="3"/>
        <v>501</v>
      </c>
      <c r="M48" s="8">
        <f t="shared" si="3"/>
        <v>501</v>
      </c>
    </row>
    <row r="49" spans="2:14" x14ac:dyDescent="0.15">
      <c r="B49" s="8" t="s">
        <v>972</v>
      </c>
      <c r="C49" s="8"/>
      <c r="G49" s="8">
        <f t="shared" si="3"/>
        <v>501</v>
      </c>
      <c r="H49" s="8">
        <f t="shared" si="3"/>
        <v>501</v>
      </c>
      <c r="I49" s="8">
        <f t="shared" si="3"/>
        <v>501</v>
      </c>
      <c r="J49" s="8">
        <f t="shared" si="3"/>
        <v>501</v>
      </c>
      <c r="K49" s="8">
        <f t="shared" si="3"/>
        <v>501</v>
      </c>
      <c r="L49" s="8">
        <f t="shared" si="3"/>
        <v>501</v>
      </c>
      <c r="M49" s="8">
        <f t="shared" si="3"/>
        <v>501</v>
      </c>
    </row>
    <row r="50" spans="2:14" x14ac:dyDescent="0.15">
      <c r="B50" s="8" t="s">
        <v>973</v>
      </c>
      <c r="C50" s="8"/>
      <c r="G50" s="8">
        <f t="shared" ref="G50:M56" si="4">$I180*($F180 + ROUNDUP(G$23*$G180 - $H180, 0))</f>
        <v>208</v>
      </c>
      <c r="H50" s="8">
        <f t="shared" si="4"/>
        <v>208</v>
      </c>
      <c r="I50" s="8">
        <f t="shared" si="4"/>
        <v>208</v>
      </c>
      <c r="J50" s="8">
        <f t="shared" si="4"/>
        <v>208</v>
      </c>
      <c r="K50" s="8">
        <f t="shared" si="4"/>
        <v>208</v>
      </c>
      <c r="L50" s="8">
        <f t="shared" si="4"/>
        <v>208</v>
      </c>
      <c r="M50" s="8">
        <f t="shared" si="4"/>
        <v>208</v>
      </c>
    </row>
    <row r="51" spans="2:14" x14ac:dyDescent="0.15">
      <c r="B51" s="8" t="s">
        <v>974</v>
      </c>
      <c r="C51" s="8"/>
      <c r="G51" s="8">
        <f t="shared" si="4"/>
        <v>12</v>
      </c>
      <c r="H51" s="8">
        <f t="shared" si="4"/>
        <v>12</v>
      </c>
      <c r="I51" s="8">
        <f t="shared" si="4"/>
        <v>12</v>
      </c>
      <c r="J51" s="8">
        <f t="shared" si="4"/>
        <v>12</v>
      </c>
      <c r="K51" s="8">
        <f t="shared" si="4"/>
        <v>12</v>
      </c>
      <c r="L51" s="8">
        <f t="shared" si="4"/>
        <v>12</v>
      </c>
      <c r="M51" s="8">
        <f t="shared" si="4"/>
        <v>12</v>
      </c>
    </row>
    <row r="52" spans="2:14" x14ac:dyDescent="0.15">
      <c r="B52" s="8" t="s">
        <v>975</v>
      </c>
      <c r="C52" s="8"/>
      <c r="G52" s="8">
        <f t="shared" si="4"/>
        <v>336</v>
      </c>
      <c r="H52" s="8">
        <f t="shared" si="4"/>
        <v>336</v>
      </c>
      <c r="I52" s="8">
        <f t="shared" si="4"/>
        <v>336</v>
      </c>
      <c r="J52" s="8">
        <f t="shared" si="4"/>
        <v>336</v>
      </c>
      <c r="K52" s="8">
        <f t="shared" si="4"/>
        <v>336</v>
      </c>
      <c r="L52" s="8">
        <f t="shared" si="4"/>
        <v>336</v>
      </c>
      <c r="M52" s="8">
        <f t="shared" si="4"/>
        <v>336</v>
      </c>
    </row>
    <row r="53" spans="2:14" x14ac:dyDescent="0.15">
      <c r="B53" s="8" t="s">
        <v>976</v>
      </c>
      <c r="C53" s="8"/>
      <c r="G53" s="8">
        <f t="shared" si="4"/>
        <v>325</v>
      </c>
      <c r="H53" s="8">
        <f t="shared" si="4"/>
        <v>325</v>
      </c>
      <c r="I53" s="8">
        <f t="shared" si="4"/>
        <v>325</v>
      </c>
      <c r="J53" s="8">
        <f t="shared" si="4"/>
        <v>325</v>
      </c>
      <c r="K53" s="8">
        <f t="shared" si="4"/>
        <v>325</v>
      </c>
      <c r="L53" s="8">
        <f t="shared" si="4"/>
        <v>325</v>
      </c>
      <c r="M53" s="8">
        <f t="shared" si="4"/>
        <v>325</v>
      </c>
    </row>
    <row r="54" spans="2:14" x14ac:dyDescent="0.15">
      <c r="B54" s="8" t="s">
        <v>977</v>
      </c>
      <c r="C54" s="8"/>
      <c r="G54" s="8">
        <f t="shared" si="4"/>
        <v>32</v>
      </c>
      <c r="H54" s="8">
        <f t="shared" si="4"/>
        <v>32</v>
      </c>
      <c r="I54" s="8">
        <f t="shared" si="4"/>
        <v>32</v>
      </c>
      <c r="J54" s="8">
        <f t="shared" si="4"/>
        <v>32</v>
      </c>
      <c r="K54" s="8">
        <f t="shared" si="4"/>
        <v>32</v>
      </c>
      <c r="L54" s="8">
        <f t="shared" si="4"/>
        <v>32</v>
      </c>
      <c r="M54" s="8">
        <f t="shared" si="4"/>
        <v>32</v>
      </c>
    </row>
    <row r="55" spans="2:14" x14ac:dyDescent="0.15">
      <c r="B55" s="8" t="s">
        <v>978</v>
      </c>
      <c r="C55" s="8"/>
      <c r="G55" s="8">
        <f t="shared" si="4"/>
        <v>154</v>
      </c>
      <c r="H55" s="8">
        <f t="shared" si="4"/>
        <v>154</v>
      </c>
      <c r="I55" s="8">
        <f t="shared" si="4"/>
        <v>154</v>
      </c>
      <c r="J55" s="8">
        <f t="shared" si="4"/>
        <v>154</v>
      </c>
      <c r="K55" s="8">
        <f t="shared" si="4"/>
        <v>154</v>
      </c>
      <c r="L55" s="8">
        <f t="shared" si="4"/>
        <v>154</v>
      </c>
      <c r="M55" s="8">
        <f t="shared" si="4"/>
        <v>154</v>
      </c>
    </row>
    <row r="56" spans="2:14" x14ac:dyDescent="0.15">
      <c r="B56" s="8" t="s">
        <v>979</v>
      </c>
      <c r="C56" s="8"/>
      <c r="G56" s="8">
        <f t="shared" si="4"/>
        <v>2</v>
      </c>
      <c r="H56" s="8">
        <f t="shared" si="4"/>
        <v>2</v>
      </c>
      <c r="I56" s="8">
        <f t="shared" si="4"/>
        <v>2</v>
      </c>
      <c r="J56" s="8">
        <f t="shared" si="4"/>
        <v>2</v>
      </c>
      <c r="K56" s="8">
        <f t="shared" si="4"/>
        <v>2</v>
      </c>
      <c r="L56" s="8">
        <f t="shared" si="4"/>
        <v>2</v>
      </c>
      <c r="M56" s="8">
        <f t="shared" si="4"/>
        <v>2</v>
      </c>
    </row>
    <row r="57" spans="2:14" x14ac:dyDescent="0.15">
      <c r="B57" s="8" t="s">
        <v>980</v>
      </c>
      <c r="C57" s="8"/>
      <c r="G57" s="8">
        <f t="shared" ref="G57:M57" ca="1" si="5">$I187*($F187 + ROUNDUP(G$23*$G187 - $H187, 0))*IF(OR(G13 = 1, G20 &lt; 50), 0, 1)</f>
        <v>1</v>
      </c>
      <c r="H57" s="8">
        <f t="shared" ca="1" si="5"/>
        <v>1</v>
      </c>
      <c r="I57" s="8">
        <f t="shared" ca="1" si="5"/>
        <v>1</v>
      </c>
      <c r="J57" s="8">
        <f t="shared" ca="1" si="5"/>
        <v>1</v>
      </c>
      <c r="K57" s="8">
        <f t="shared" ca="1" si="5"/>
        <v>1</v>
      </c>
      <c r="L57" s="8">
        <f t="shared" ca="1" si="5"/>
        <v>1</v>
      </c>
      <c r="M57" s="8">
        <f t="shared" ca="1" si="5"/>
        <v>1</v>
      </c>
    </row>
    <row r="58" spans="2:14" x14ac:dyDescent="0.15">
      <c r="B58" s="8" t="s">
        <v>981</v>
      </c>
      <c r="C58" s="8"/>
      <c r="G58" s="8">
        <f t="shared" ref="G58:M58" si="6">$I188*($F188 + ROUNDUP(G$23*$G188 - $H188, 0))</f>
        <v>1</v>
      </c>
      <c r="H58" s="8">
        <f t="shared" si="6"/>
        <v>1</v>
      </c>
      <c r="I58" s="8">
        <f t="shared" si="6"/>
        <v>1</v>
      </c>
      <c r="J58" s="8">
        <f t="shared" si="6"/>
        <v>1</v>
      </c>
      <c r="K58" s="8">
        <f t="shared" si="6"/>
        <v>1</v>
      </c>
      <c r="L58" s="8">
        <f t="shared" si="6"/>
        <v>1</v>
      </c>
      <c r="M58" s="8">
        <f t="shared" si="6"/>
        <v>1</v>
      </c>
    </row>
    <row r="59" spans="2:14" x14ac:dyDescent="0.15">
      <c r="C59" s="8"/>
    </row>
    <row r="60" spans="2:14" ht="14" x14ac:dyDescent="0.15">
      <c r="B60" s="507" t="s">
        <v>982</v>
      </c>
      <c r="C60" s="8"/>
    </row>
    <row r="61" spans="2:14" x14ac:dyDescent="0.15">
      <c r="B61" s="8" t="s">
        <v>983</v>
      </c>
      <c r="C61" s="8"/>
      <c r="G61" s="8">
        <f ca="1">$I192*($F192+ROUNDUP(G$23*$G192-$H192,0))/(IF(G20&lt;100,2,1))*IF(OR(G13 = 1, G20 &lt; 50), 0, 1)</f>
        <v>2</v>
      </c>
      <c r="H61" s="8">
        <f t="shared" ref="H61:M61" ca="1" si="7">$I192*($F192+ROUNDUP(H$23*$G192-$H192,0))/(IF(H20&lt;100,2,1))*IF(OR(H13 = 1, H20 &lt; 50), 0, 1)</f>
        <v>2</v>
      </c>
      <c r="I61" s="8">
        <f t="shared" ca="1" si="7"/>
        <v>2</v>
      </c>
      <c r="J61" s="8">
        <f t="shared" ca="1" si="7"/>
        <v>2</v>
      </c>
      <c r="K61" s="8">
        <f t="shared" ca="1" si="7"/>
        <v>2</v>
      </c>
      <c r="L61" s="8">
        <f t="shared" ca="1" si="7"/>
        <v>2</v>
      </c>
      <c r="M61" s="8">
        <f t="shared" ca="1" si="7"/>
        <v>2</v>
      </c>
      <c r="N61" s="562"/>
    </row>
    <row r="62" spans="2:14" x14ac:dyDescent="0.15">
      <c r="B62" s="8" t="s">
        <v>984</v>
      </c>
      <c r="C62" s="8"/>
      <c r="G62" s="8">
        <f t="shared" ref="G62:M62" si="8">$I193*($F193 + ROUNDUP(G$23*$G193 - $H193, 0))</f>
        <v>2</v>
      </c>
      <c r="H62" s="8">
        <f t="shared" si="8"/>
        <v>2</v>
      </c>
      <c r="I62" s="8">
        <f t="shared" si="8"/>
        <v>2</v>
      </c>
      <c r="J62" s="8">
        <f t="shared" si="8"/>
        <v>2</v>
      </c>
      <c r="K62" s="8">
        <f t="shared" si="8"/>
        <v>2</v>
      </c>
      <c r="L62" s="8">
        <f t="shared" si="8"/>
        <v>2</v>
      </c>
      <c r="M62" s="8">
        <f t="shared" si="8"/>
        <v>2</v>
      </c>
    </row>
    <row r="63" spans="2:14" x14ac:dyDescent="0.15">
      <c r="B63" s="8" t="s">
        <v>985</v>
      </c>
      <c r="C63" s="8"/>
      <c r="G63" s="8">
        <f t="shared" ref="G63:M63" ca="1" si="9">$I194*($F194 + ROUNDUP(G$23*$G194 - $H194, 0))*IF(OR(G13 = 1, G20 &lt; 50), 0, 1)</f>
        <v>1</v>
      </c>
      <c r="H63" s="8">
        <f t="shared" ca="1" si="9"/>
        <v>1</v>
      </c>
      <c r="I63" s="8">
        <f t="shared" ca="1" si="9"/>
        <v>1</v>
      </c>
      <c r="J63" s="8">
        <f t="shared" ca="1" si="9"/>
        <v>1</v>
      </c>
      <c r="K63" s="8">
        <f t="shared" ca="1" si="9"/>
        <v>1</v>
      </c>
      <c r="L63" s="8">
        <f t="shared" ca="1" si="9"/>
        <v>1</v>
      </c>
      <c r="M63" s="8">
        <f t="shared" ca="1" si="9"/>
        <v>1</v>
      </c>
    </row>
    <row r="64" spans="2:14" x14ac:dyDescent="0.15">
      <c r="B64" s="8" t="s">
        <v>986</v>
      </c>
      <c r="C64" s="8"/>
      <c r="G64" s="8">
        <f t="shared" ref="G64:M67" si="10">$I195*($F195 + ROUNDUP(G$23*$G195 - $H195, 0))</f>
        <v>1</v>
      </c>
      <c r="H64" s="8">
        <f t="shared" si="10"/>
        <v>1</v>
      </c>
      <c r="I64" s="8">
        <f t="shared" si="10"/>
        <v>1</v>
      </c>
      <c r="J64" s="8">
        <f t="shared" si="10"/>
        <v>1</v>
      </c>
      <c r="K64" s="8">
        <f t="shared" si="10"/>
        <v>1</v>
      </c>
      <c r="L64" s="8">
        <f t="shared" si="10"/>
        <v>1</v>
      </c>
      <c r="M64" s="8">
        <f t="shared" si="10"/>
        <v>1</v>
      </c>
    </row>
    <row r="65" spans="2:13" x14ac:dyDescent="0.15">
      <c r="B65" s="8" t="s">
        <v>987</v>
      </c>
      <c r="C65" s="8"/>
      <c r="G65" s="8">
        <f t="shared" si="10"/>
        <v>1</v>
      </c>
      <c r="H65" s="8">
        <f t="shared" si="10"/>
        <v>1</v>
      </c>
      <c r="I65" s="8">
        <f t="shared" si="10"/>
        <v>1</v>
      </c>
      <c r="J65" s="8">
        <f t="shared" si="10"/>
        <v>1</v>
      </c>
      <c r="K65" s="8">
        <f t="shared" si="10"/>
        <v>1</v>
      </c>
      <c r="L65" s="8">
        <f t="shared" si="10"/>
        <v>1</v>
      </c>
      <c r="M65" s="8">
        <f t="shared" si="10"/>
        <v>1</v>
      </c>
    </row>
    <row r="66" spans="2:13" x14ac:dyDescent="0.15">
      <c r="B66" s="8" t="s">
        <v>988</v>
      </c>
      <c r="C66" s="8"/>
      <c r="G66" s="8">
        <f t="shared" si="10"/>
        <v>1</v>
      </c>
      <c r="H66" s="8">
        <f t="shared" si="10"/>
        <v>1</v>
      </c>
      <c r="I66" s="8">
        <f t="shared" si="10"/>
        <v>1</v>
      </c>
      <c r="J66" s="8">
        <f t="shared" si="10"/>
        <v>1</v>
      </c>
      <c r="K66" s="8">
        <f t="shared" si="10"/>
        <v>1</v>
      </c>
      <c r="L66" s="8">
        <f t="shared" si="10"/>
        <v>1</v>
      </c>
      <c r="M66" s="8">
        <f t="shared" si="10"/>
        <v>1</v>
      </c>
    </row>
    <row r="67" spans="2:13" x14ac:dyDescent="0.15">
      <c r="B67" s="8" t="s">
        <v>989</v>
      </c>
      <c r="C67" s="8"/>
      <c r="G67" s="8">
        <f t="shared" si="10"/>
        <v>1</v>
      </c>
      <c r="H67" s="8">
        <f t="shared" si="10"/>
        <v>1</v>
      </c>
      <c r="I67" s="8">
        <f t="shared" si="10"/>
        <v>1</v>
      </c>
      <c r="J67" s="8">
        <f t="shared" si="10"/>
        <v>1</v>
      </c>
      <c r="K67" s="8">
        <f t="shared" si="10"/>
        <v>1</v>
      </c>
      <c r="L67" s="8">
        <f t="shared" si="10"/>
        <v>1</v>
      </c>
      <c r="M67" s="8">
        <f t="shared" si="10"/>
        <v>1</v>
      </c>
    </row>
    <row r="68" spans="2:13" x14ac:dyDescent="0.15">
      <c r="B68" s="8" t="s">
        <v>990</v>
      </c>
      <c r="C68" s="8"/>
      <c r="G68" s="8">
        <f t="shared" ref="G68:M68" ca="1" si="11">$I199*($F199 + ROUNDUP(G$23*$G199 - $H199, 0))*IF(OR(G13 = 1, G20 &lt; 50), 0, 1)</f>
        <v>1</v>
      </c>
      <c r="H68" s="8">
        <f t="shared" ca="1" si="11"/>
        <v>1</v>
      </c>
      <c r="I68" s="8">
        <f t="shared" ca="1" si="11"/>
        <v>1</v>
      </c>
      <c r="J68" s="8">
        <f t="shared" ca="1" si="11"/>
        <v>1</v>
      </c>
      <c r="K68" s="8">
        <f t="shared" ca="1" si="11"/>
        <v>1</v>
      </c>
      <c r="L68" s="8">
        <f t="shared" ca="1" si="11"/>
        <v>1</v>
      </c>
      <c r="M68" s="8">
        <f t="shared" ca="1" si="11"/>
        <v>1</v>
      </c>
    </row>
    <row r="69" spans="2:13" x14ac:dyDescent="0.15">
      <c r="C69" s="8"/>
    </row>
    <row r="70" spans="2:13" ht="14" x14ac:dyDescent="0.15">
      <c r="B70" s="507" t="s">
        <v>991</v>
      </c>
      <c r="C70" s="8"/>
    </row>
    <row r="71" spans="2:13" x14ac:dyDescent="0.15">
      <c r="B71" s="8" t="s">
        <v>992</v>
      </c>
      <c r="C71" s="8"/>
      <c r="G71" s="8">
        <f ca="1">IF(OR(G13 = 1, G20 &lt; 50), 0, 1)</f>
        <v>1</v>
      </c>
      <c r="H71" s="8">
        <f t="shared" ref="H71:M71" ca="1" si="12">IF(OR(H13 = 1, H20 &lt; 50), 0, 1)</f>
        <v>1</v>
      </c>
      <c r="I71" s="8">
        <f t="shared" ca="1" si="12"/>
        <v>1</v>
      </c>
      <c r="J71" s="8">
        <f t="shared" ca="1" si="12"/>
        <v>1</v>
      </c>
      <c r="K71" s="8">
        <f t="shared" ca="1" si="12"/>
        <v>1</v>
      </c>
      <c r="L71" s="8">
        <f t="shared" ca="1" si="12"/>
        <v>1</v>
      </c>
      <c r="M71" s="8">
        <f t="shared" ca="1" si="12"/>
        <v>1</v>
      </c>
    </row>
    <row r="72" spans="2:13" x14ac:dyDescent="0.15">
      <c r="C72" s="8"/>
    </row>
    <row r="73" spans="2:13" ht="14" x14ac:dyDescent="0.15">
      <c r="B73" s="507" t="s">
        <v>993</v>
      </c>
      <c r="C73" s="8"/>
    </row>
    <row r="74" spans="2:13" x14ac:dyDescent="0.15">
      <c r="B74" s="8" t="s">
        <v>994</v>
      </c>
      <c r="C74" s="8"/>
      <c r="G74" s="8">
        <f t="shared" ref="G74:M74" si="13">ROUNDUP(((G9/G10)+1)*G13, 0)</f>
        <v>220</v>
      </c>
      <c r="H74" s="8">
        <f t="shared" si="13"/>
        <v>220</v>
      </c>
      <c r="I74" s="8">
        <f t="shared" si="13"/>
        <v>220</v>
      </c>
      <c r="J74" s="8">
        <f t="shared" si="13"/>
        <v>220</v>
      </c>
      <c r="K74" s="8">
        <f t="shared" si="13"/>
        <v>220</v>
      </c>
      <c r="L74" s="8">
        <f t="shared" si="13"/>
        <v>220</v>
      </c>
      <c r="M74" s="8">
        <f t="shared" si="13"/>
        <v>220</v>
      </c>
    </row>
    <row r="75" spans="2:13" x14ac:dyDescent="0.15">
      <c r="B75" s="8" t="s">
        <v>995</v>
      </c>
      <c r="C75" s="8"/>
      <c r="G75" s="8">
        <f>G13*2+2</f>
        <v>42</v>
      </c>
      <c r="H75" s="8">
        <f t="shared" ref="H75:M75" si="14">H13*2+2</f>
        <v>42</v>
      </c>
      <c r="I75" s="8">
        <f t="shared" si="14"/>
        <v>42</v>
      </c>
      <c r="J75" s="8">
        <f t="shared" si="14"/>
        <v>42</v>
      </c>
      <c r="K75" s="8">
        <f t="shared" si="14"/>
        <v>42</v>
      </c>
      <c r="L75" s="8">
        <f t="shared" si="14"/>
        <v>42</v>
      </c>
      <c r="M75" s="8">
        <f t="shared" si="14"/>
        <v>42</v>
      </c>
    </row>
    <row r="76" spans="2:13" x14ac:dyDescent="0.15">
      <c r="B76" s="8" t="s">
        <v>996</v>
      </c>
      <c r="C76" s="8"/>
      <c r="G76" s="330">
        <f>G13</f>
        <v>20</v>
      </c>
      <c r="H76" s="330">
        <f t="shared" ref="H76:M76" si="15">H13</f>
        <v>20</v>
      </c>
      <c r="I76" s="330">
        <f t="shared" si="15"/>
        <v>20</v>
      </c>
      <c r="J76" s="330">
        <f t="shared" si="15"/>
        <v>20</v>
      </c>
      <c r="K76" s="330">
        <f t="shared" si="15"/>
        <v>20</v>
      </c>
      <c r="L76" s="330">
        <f t="shared" si="15"/>
        <v>20</v>
      </c>
      <c r="M76" s="330">
        <f t="shared" si="15"/>
        <v>20</v>
      </c>
    </row>
    <row r="77" spans="2:13" ht="15" x14ac:dyDescent="0.2">
      <c r="B77" s="417"/>
      <c r="C77" s="8"/>
    </row>
    <row r="78" spans="2:13" ht="16" x14ac:dyDescent="0.2">
      <c r="B78" s="5" t="s">
        <v>997</v>
      </c>
      <c r="C78" s="5"/>
      <c r="D78" s="5"/>
      <c r="E78" s="5"/>
      <c r="F78" s="5"/>
      <c r="G78" s="5"/>
      <c r="H78" s="5"/>
      <c r="I78" s="5"/>
    </row>
    <row r="79" spans="2:13" ht="15" x14ac:dyDescent="0.2">
      <c r="B79" s="507" t="s">
        <v>952</v>
      </c>
      <c r="C79" s="558"/>
      <c r="D79" s="558"/>
      <c r="E79" s="558"/>
      <c r="F79" s="558"/>
      <c r="G79" s="558"/>
      <c r="H79" s="558"/>
      <c r="I79" s="558"/>
    </row>
    <row r="80" spans="2:13" x14ac:dyDescent="0.15">
      <c r="B80" s="8" t="s">
        <v>953</v>
      </c>
      <c r="G80" s="418">
        <f>IF(G30 = 0, 0, $C160*($D160/(G30*G$24))^(1-$E160 ))</f>
        <v>2.6857958838184395</v>
      </c>
      <c r="H80" s="418">
        <f t="shared" ref="G80:M89" si="16">IF(H30 = 0, 0, $C160*($D160/(H30*H$24))^(1-$E160 ))</f>
        <v>2.6857958838184395</v>
      </c>
      <c r="I80" s="418">
        <f t="shared" si="16"/>
        <v>2.6857958838184395</v>
      </c>
      <c r="J80" s="418">
        <f t="shared" si="16"/>
        <v>2.6857958838184395</v>
      </c>
      <c r="K80" s="418">
        <f t="shared" si="16"/>
        <v>2.6857958838184395</v>
      </c>
      <c r="L80" s="418">
        <f t="shared" si="16"/>
        <v>2.6857958838184395</v>
      </c>
      <c r="M80" s="418">
        <f t="shared" si="16"/>
        <v>2.6857958838184395</v>
      </c>
    </row>
    <row r="81" spans="2:13" x14ac:dyDescent="0.15">
      <c r="B81" s="8" t="s">
        <v>954</v>
      </c>
      <c r="G81" s="418">
        <f t="shared" si="16"/>
        <v>0.83337786644922296</v>
      </c>
      <c r="H81" s="418">
        <f t="shared" si="16"/>
        <v>0.83337786644922296</v>
      </c>
      <c r="I81" s="418">
        <f t="shared" si="16"/>
        <v>0.83337786644922296</v>
      </c>
      <c r="J81" s="418">
        <f t="shared" si="16"/>
        <v>0.83337786644922296</v>
      </c>
      <c r="K81" s="418">
        <f t="shared" si="16"/>
        <v>0.83337786644922296</v>
      </c>
      <c r="L81" s="418">
        <f t="shared" si="16"/>
        <v>0.83337786644922296</v>
      </c>
      <c r="M81" s="418">
        <f t="shared" si="16"/>
        <v>0.83337786644922296</v>
      </c>
    </row>
    <row r="82" spans="2:13" x14ac:dyDescent="0.15">
      <c r="B82" s="8" t="s">
        <v>955</v>
      </c>
      <c r="G82" s="418">
        <f t="shared" si="16"/>
        <v>0.82024454782425138</v>
      </c>
      <c r="H82" s="418">
        <f t="shared" si="16"/>
        <v>0.82024454782425138</v>
      </c>
      <c r="I82" s="418">
        <f t="shared" si="16"/>
        <v>0.82024454782425138</v>
      </c>
      <c r="J82" s="418">
        <f t="shared" si="16"/>
        <v>0.82024454782425138</v>
      </c>
      <c r="K82" s="418">
        <f t="shared" si="16"/>
        <v>0.82024454782425138</v>
      </c>
      <c r="L82" s="418">
        <f t="shared" si="16"/>
        <v>0.82024454782425138</v>
      </c>
      <c r="M82" s="418">
        <f t="shared" si="16"/>
        <v>0.82024454782425138</v>
      </c>
    </row>
    <row r="83" spans="2:13" x14ac:dyDescent="0.15">
      <c r="B83" s="8" t="s">
        <v>956</v>
      </c>
      <c r="G83" s="418">
        <f t="shared" si="16"/>
        <v>0.23381211195565538</v>
      </c>
      <c r="H83" s="418">
        <f t="shared" si="16"/>
        <v>0.23381211195565538</v>
      </c>
      <c r="I83" s="418">
        <f t="shared" si="16"/>
        <v>0.23381211195565538</v>
      </c>
      <c r="J83" s="418">
        <f t="shared" si="16"/>
        <v>0.23381211195565538</v>
      </c>
      <c r="K83" s="418">
        <f t="shared" si="16"/>
        <v>0.23381211195565538</v>
      </c>
      <c r="L83" s="418">
        <f t="shared" si="16"/>
        <v>0.23381211195565538</v>
      </c>
      <c r="M83" s="418">
        <f t="shared" si="16"/>
        <v>0.23381211195565538</v>
      </c>
    </row>
    <row r="84" spans="2:13" x14ac:dyDescent="0.15">
      <c r="B84" s="8" t="s">
        <v>957</v>
      </c>
      <c r="G84" s="418">
        <f t="shared" si="16"/>
        <v>10.174000605186905</v>
      </c>
      <c r="H84" s="418">
        <f t="shared" si="16"/>
        <v>10.174000605186905</v>
      </c>
      <c r="I84" s="418">
        <f t="shared" si="16"/>
        <v>10.174000605186905</v>
      </c>
      <c r="J84" s="418">
        <f t="shared" si="16"/>
        <v>10.174000605186905</v>
      </c>
      <c r="K84" s="418">
        <f t="shared" si="16"/>
        <v>10.174000605186905</v>
      </c>
      <c r="L84" s="418">
        <f t="shared" si="16"/>
        <v>10.174000605186905</v>
      </c>
      <c r="M84" s="418">
        <f t="shared" si="16"/>
        <v>10.174000605186905</v>
      </c>
    </row>
    <row r="85" spans="2:13" x14ac:dyDescent="0.15">
      <c r="B85" s="8" t="s">
        <v>958</v>
      </c>
      <c r="G85" s="418">
        <f t="shared" si="16"/>
        <v>5.6611590822018068E-2</v>
      </c>
      <c r="H85" s="418">
        <f t="shared" si="16"/>
        <v>5.6611590822018068E-2</v>
      </c>
      <c r="I85" s="418">
        <f t="shared" si="16"/>
        <v>5.6611590822018068E-2</v>
      </c>
      <c r="J85" s="418">
        <f t="shared" si="16"/>
        <v>5.6611590822018068E-2</v>
      </c>
      <c r="K85" s="418">
        <f t="shared" si="16"/>
        <v>5.6611590822018068E-2</v>
      </c>
      <c r="L85" s="418">
        <f t="shared" si="16"/>
        <v>5.6611590822018068E-2</v>
      </c>
      <c r="M85" s="418">
        <f t="shared" si="16"/>
        <v>5.6611590822018068E-2</v>
      </c>
    </row>
    <row r="86" spans="2:13" x14ac:dyDescent="0.15">
      <c r="B86" s="8" t="s">
        <v>959</v>
      </c>
      <c r="G86" s="418">
        <f t="shared" si="16"/>
        <v>0.2731451012183656</v>
      </c>
      <c r="H86" s="418">
        <f t="shared" si="16"/>
        <v>0.2731451012183656</v>
      </c>
      <c r="I86" s="418">
        <f t="shared" si="16"/>
        <v>0.2731451012183656</v>
      </c>
      <c r="J86" s="418">
        <f t="shared" si="16"/>
        <v>0.2731451012183656</v>
      </c>
      <c r="K86" s="418">
        <f t="shared" si="16"/>
        <v>0.2731451012183656</v>
      </c>
      <c r="L86" s="418">
        <f t="shared" si="16"/>
        <v>0.2731451012183656</v>
      </c>
      <c r="M86" s="418">
        <f t="shared" si="16"/>
        <v>0.2731451012183656</v>
      </c>
    </row>
    <row r="87" spans="2:13" x14ac:dyDescent="0.15">
      <c r="B87" s="8" t="s">
        <v>960</v>
      </c>
      <c r="G87" s="418">
        <f t="shared" si="16"/>
        <v>1.8063549551129394</v>
      </c>
      <c r="H87" s="418">
        <f t="shared" si="16"/>
        <v>1.8063549551129394</v>
      </c>
      <c r="I87" s="418">
        <f t="shared" si="16"/>
        <v>1.8063549551129394</v>
      </c>
      <c r="J87" s="418">
        <f t="shared" si="16"/>
        <v>1.8063549551129394</v>
      </c>
      <c r="K87" s="418">
        <f t="shared" si="16"/>
        <v>1.8063549551129394</v>
      </c>
      <c r="L87" s="418">
        <f t="shared" si="16"/>
        <v>1.8063549551129394</v>
      </c>
      <c r="M87" s="418">
        <f t="shared" si="16"/>
        <v>1.8063549551129394</v>
      </c>
    </row>
    <row r="88" spans="2:13" x14ac:dyDescent="0.15">
      <c r="B88" s="8" t="s">
        <v>961</v>
      </c>
      <c r="G88" s="418">
        <f t="shared" si="16"/>
        <v>1.258708066901713</v>
      </c>
      <c r="H88" s="418">
        <f t="shared" si="16"/>
        <v>1.258708066901713</v>
      </c>
      <c r="I88" s="418">
        <f t="shared" si="16"/>
        <v>1.258708066901713</v>
      </c>
      <c r="J88" s="418">
        <f t="shared" si="16"/>
        <v>1.258708066901713</v>
      </c>
      <c r="K88" s="418">
        <f t="shared" si="16"/>
        <v>1.258708066901713</v>
      </c>
      <c r="L88" s="418">
        <f t="shared" si="16"/>
        <v>1.258708066901713</v>
      </c>
      <c r="M88" s="418">
        <f t="shared" si="16"/>
        <v>1.258708066901713</v>
      </c>
    </row>
    <row r="89" spans="2:13" x14ac:dyDescent="0.15">
      <c r="B89" s="8" t="s">
        <v>962</v>
      </c>
      <c r="G89" s="418">
        <f t="shared" si="16"/>
        <v>0.31584516584570826</v>
      </c>
      <c r="H89" s="418">
        <f t="shared" si="16"/>
        <v>0.31584516584570826</v>
      </c>
      <c r="I89" s="418">
        <f t="shared" si="16"/>
        <v>0.31584516584570826</v>
      </c>
      <c r="J89" s="418">
        <f t="shared" si="16"/>
        <v>0.31584516584570826</v>
      </c>
      <c r="K89" s="418">
        <f t="shared" si="16"/>
        <v>0.31584516584570826</v>
      </c>
      <c r="L89" s="418">
        <f t="shared" si="16"/>
        <v>0.31584516584570826</v>
      </c>
      <c r="M89" s="418">
        <f t="shared" si="16"/>
        <v>0.31584516584570826</v>
      </c>
    </row>
    <row r="90" spans="2:13" x14ac:dyDescent="0.15">
      <c r="B90" s="8" t="s">
        <v>963</v>
      </c>
      <c r="G90" s="418">
        <f t="shared" ref="G90:M99" si="17">IF(G40 = 0, 0, $C170*($D170/(G40*G$24))^(1-$E170 ))</f>
        <v>0.39305057055264619</v>
      </c>
      <c r="H90" s="418">
        <f t="shared" si="17"/>
        <v>0.39305057055264619</v>
      </c>
      <c r="I90" s="418">
        <f t="shared" si="17"/>
        <v>0.39305057055264619</v>
      </c>
      <c r="J90" s="418">
        <f t="shared" si="17"/>
        <v>0.39305057055264619</v>
      </c>
      <c r="K90" s="418">
        <f t="shared" si="17"/>
        <v>0.39305057055264619</v>
      </c>
      <c r="L90" s="418">
        <f t="shared" si="17"/>
        <v>0.39305057055264619</v>
      </c>
      <c r="M90" s="418">
        <f t="shared" si="17"/>
        <v>0.39305057055264619</v>
      </c>
    </row>
    <row r="91" spans="2:13" x14ac:dyDescent="0.15">
      <c r="B91" s="8" t="s">
        <v>964</v>
      </c>
      <c r="G91" s="418">
        <f t="shared" si="17"/>
        <v>0.39096613720796264</v>
      </c>
      <c r="H91" s="418">
        <f t="shared" si="17"/>
        <v>0.39096613720796264</v>
      </c>
      <c r="I91" s="418">
        <f t="shared" si="17"/>
        <v>0.39096613720796264</v>
      </c>
      <c r="J91" s="418">
        <f t="shared" si="17"/>
        <v>0.39096613720796264</v>
      </c>
      <c r="K91" s="418">
        <f t="shared" si="17"/>
        <v>0.39096613720796264</v>
      </c>
      <c r="L91" s="418">
        <f t="shared" si="17"/>
        <v>0.39096613720796264</v>
      </c>
      <c r="M91" s="418">
        <f t="shared" si="17"/>
        <v>0.39096613720796264</v>
      </c>
    </row>
    <row r="92" spans="2:13" x14ac:dyDescent="0.15">
      <c r="B92" s="8" t="s">
        <v>965</v>
      </c>
      <c r="G92" s="418">
        <f t="shared" si="17"/>
        <v>0.94574030985466295</v>
      </c>
      <c r="H92" s="418">
        <f t="shared" si="17"/>
        <v>0.94574030985466295</v>
      </c>
      <c r="I92" s="418">
        <f t="shared" si="17"/>
        <v>0.94574030985466295</v>
      </c>
      <c r="J92" s="418">
        <f t="shared" si="17"/>
        <v>0.94574030985466295</v>
      </c>
      <c r="K92" s="418">
        <f t="shared" si="17"/>
        <v>0.94574030985466295</v>
      </c>
      <c r="L92" s="418">
        <f t="shared" si="17"/>
        <v>0.94574030985466295</v>
      </c>
      <c r="M92" s="418">
        <f t="shared" si="17"/>
        <v>0.94574030985466295</v>
      </c>
    </row>
    <row r="93" spans="2:13" x14ac:dyDescent="0.15">
      <c r="B93" s="8" t="s">
        <v>966</v>
      </c>
      <c r="G93" s="418">
        <f t="shared" si="17"/>
        <v>0.45667934858939263</v>
      </c>
      <c r="H93" s="418">
        <f t="shared" si="17"/>
        <v>0.45667934858939263</v>
      </c>
      <c r="I93" s="418">
        <f t="shared" si="17"/>
        <v>0.45667934858939263</v>
      </c>
      <c r="J93" s="418">
        <f t="shared" si="17"/>
        <v>0.45667934858939263</v>
      </c>
      <c r="K93" s="418">
        <f t="shared" si="17"/>
        <v>0.45667934858939263</v>
      </c>
      <c r="L93" s="418">
        <f t="shared" si="17"/>
        <v>0.45667934858939263</v>
      </c>
      <c r="M93" s="418">
        <f t="shared" si="17"/>
        <v>0.45667934858939263</v>
      </c>
    </row>
    <row r="94" spans="2:13" x14ac:dyDescent="0.15">
      <c r="B94" s="8" t="s">
        <v>967</v>
      </c>
      <c r="G94" s="418">
        <f t="shared" si="17"/>
        <v>0.80695625913906888</v>
      </c>
      <c r="H94" s="418">
        <f t="shared" si="17"/>
        <v>0.80695625913906888</v>
      </c>
      <c r="I94" s="418">
        <f t="shared" si="17"/>
        <v>0.80695625913906888</v>
      </c>
      <c r="J94" s="418">
        <f t="shared" si="17"/>
        <v>0.80695625913906888</v>
      </c>
      <c r="K94" s="418">
        <f t="shared" si="17"/>
        <v>0.80695625913906888</v>
      </c>
      <c r="L94" s="418">
        <f t="shared" si="17"/>
        <v>0.80695625913906888</v>
      </c>
      <c r="M94" s="418">
        <f t="shared" si="17"/>
        <v>0.80695625913906888</v>
      </c>
    </row>
    <row r="95" spans="2:13" x14ac:dyDescent="0.15">
      <c r="B95" s="8" t="s">
        <v>968</v>
      </c>
      <c r="G95" s="418">
        <f t="shared" si="17"/>
        <v>6.0499826752262544E-2</v>
      </c>
      <c r="H95" s="418">
        <f t="shared" si="17"/>
        <v>6.0499826752262544E-2</v>
      </c>
      <c r="I95" s="418">
        <f t="shared" si="17"/>
        <v>6.0499826752262544E-2</v>
      </c>
      <c r="J95" s="418">
        <f t="shared" si="17"/>
        <v>6.0499826752262544E-2</v>
      </c>
      <c r="K95" s="418">
        <f t="shared" si="17"/>
        <v>6.0499826752262544E-2</v>
      </c>
      <c r="L95" s="418">
        <f t="shared" si="17"/>
        <v>6.0499826752262544E-2</v>
      </c>
      <c r="M95" s="418">
        <f t="shared" si="17"/>
        <v>6.0499826752262544E-2</v>
      </c>
    </row>
    <row r="96" spans="2:13" x14ac:dyDescent="0.15">
      <c r="B96" s="8" t="s">
        <v>969</v>
      </c>
      <c r="G96" s="418">
        <f t="shared" si="17"/>
        <v>0.443083485587771</v>
      </c>
      <c r="H96" s="418">
        <f t="shared" si="17"/>
        <v>0.443083485587771</v>
      </c>
      <c r="I96" s="418">
        <f t="shared" si="17"/>
        <v>0.443083485587771</v>
      </c>
      <c r="J96" s="418">
        <f t="shared" si="17"/>
        <v>0.443083485587771</v>
      </c>
      <c r="K96" s="418">
        <f t="shared" si="17"/>
        <v>0.443083485587771</v>
      </c>
      <c r="L96" s="418">
        <f t="shared" si="17"/>
        <v>0.443083485587771</v>
      </c>
      <c r="M96" s="418">
        <f t="shared" si="17"/>
        <v>0.443083485587771</v>
      </c>
    </row>
    <row r="97" spans="2:13" x14ac:dyDescent="0.15">
      <c r="B97" s="8" t="s">
        <v>970</v>
      </c>
      <c r="G97" s="418">
        <f t="shared" si="17"/>
        <v>2.0622347628681374E-2</v>
      </c>
      <c r="H97" s="418">
        <f t="shared" si="17"/>
        <v>2.0622347628681374E-2</v>
      </c>
      <c r="I97" s="418">
        <f t="shared" si="17"/>
        <v>2.0622347628681374E-2</v>
      </c>
      <c r="J97" s="418">
        <f t="shared" si="17"/>
        <v>2.0622347628681374E-2</v>
      </c>
      <c r="K97" s="418">
        <f t="shared" si="17"/>
        <v>2.0622347628681374E-2</v>
      </c>
      <c r="L97" s="418">
        <f t="shared" si="17"/>
        <v>2.0622347628681374E-2</v>
      </c>
      <c r="M97" s="418">
        <f t="shared" si="17"/>
        <v>2.0622347628681374E-2</v>
      </c>
    </row>
    <row r="98" spans="2:13" x14ac:dyDescent="0.15">
      <c r="B98" s="8" t="s">
        <v>971</v>
      </c>
      <c r="G98" s="418">
        <f t="shared" si="17"/>
        <v>5.0338264072681002E-3</v>
      </c>
      <c r="H98" s="418">
        <f t="shared" si="17"/>
        <v>5.0338264072681002E-3</v>
      </c>
      <c r="I98" s="418">
        <f t="shared" si="17"/>
        <v>5.0338264072681002E-3</v>
      </c>
      <c r="J98" s="418">
        <f t="shared" si="17"/>
        <v>5.0338264072681002E-3</v>
      </c>
      <c r="K98" s="418">
        <f t="shared" si="17"/>
        <v>5.0338264072681002E-3</v>
      </c>
      <c r="L98" s="418">
        <f t="shared" si="17"/>
        <v>5.0338264072681002E-3</v>
      </c>
      <c r="M98" s="418">
        <f t="shared" si="17"/>
        <v>5.0338264072681002E-3</v>
      </c>
    </row>
    <row r="99" spans="2:13" x14ac:dyDescent="0.15">
      <c r="B99" s="8" t="s">
        <v>972</v>
      </c>
      <c r="G99" s="418">
        <f t="shared" si="17"/>
        <v>5.0338264072681002E-3</v>
      </c>
      <c r="H99" s="418">
        <f t="shared" si="17"/>
        <v>5.0338264072681002E-3</v>
      </c>
      <c r="I99" s="418">
        <f t="shared" si="17"/>
        <v>5.0338264072681002E-3</v>
      </c>
      <c r="J99" s="418">
        <f t="shared" si="17"/>
        <v>5.0338264072681002E-3</v>
      </c>
      <c r="K99" s="418">
        <f t="shared" si="17"/>
        <v>5.0338264072681002E-3</v>
      </c>
      <c r="L99" s="418">
        <f t="shared" si="17"/>
        <v>5.0338264072681002E-3</v>
      </c>
      <c r="M99" s="418">
        <f t="shared" si="17"/>
        <v>5.0338264072681002E-3</v>
      </c>
    </row>
    <row r="100" spans="2:13" x14ac:dyDescent="0.15">
      <c r="B100" s="8" t="s">
        <v>973</v>
      </c>
      <c r="G100" s="418">
        <f t="shared" ref="G100:M108" si="18">IF(G50 = 0, 0, $C180*($D180/(G50*G$24))^(1-$E180 ))</f>
        <v>0.10048178677662821</v>
      </c>
      <c r="H100" s="418">
        <f t="shared" si="18"/>
        <v>0.10048178677662821</v>
      </c>
      <c r="I100" s="418">
        <f t="shared" si="18"/>
        <v>0.10048178677662821</v>
      </c>
      <c r="J100" s="418">
        <f t="shared" si="18"/>
        <v>0.10048178677662821</v>
      </c>
      <c r="K100" s="418">
        <f t="shared" si="18"/>
        <v>0.10048178677662821</v>
      </c>
      <c r="L100" s="418">
        <f t="shared" si="18"/>
        <v>0.10048178677662821</v>
      </c>
      <c r="M100" s="418">
        <f t="shared" si="18"/>
        <v>0.10048178677662821</v>
      </c>
    </row>
    <row r="101" spans="2:13" x14ac:dyDescent="0.15">
      <c r="B101" s="8" t="s">
        <v>974</v>
      </c>
      <c r="G101" s="418">
        <f t="shared" si="18"/>
        <v>2.4821279901832909E-2</v>
      </c>
      <c r="H101" s="418">
        <f t="shared" si="18"/>
        <v>2.4821279901832909E-2</v>
      </c>
      <c r="I101" s="418">
        <f t="shared" si="18"/>
        <v>2.4821279901832909E-2</v>
      </c>
      <c r="J101" s="418">
        <f t="shared" si="18"/>
        <v>2.4821279901832909E-2</v>
      </c>
      <c r="K101" s="418">
        <f t="shared" si="18"/>
        <v>2.4821279901832909E-2</v>
      </c>
      <c r="L101" s="418">
        <f t="shared" si="18"/>
        <v>2.4821279901832909E-2</v>
      </c>
      <c r="M101" s="418">
        <f t="shared" si="18"/>
        <v>2.4821279901832909E-2</v>
      </c>
    </row>
    <row r="102" spans="2:13" x14ac:dyDescent="0.15">
      <c r="B102" s="8" t="s">
        <v>975</v>
      </c>
      <c r="G102" s="418">
        <f t="shared" si="18"/>
        <v>8.8564712232549092E-4</v>
      </c>
      <c r="H102" s="418">
        <f t="shared" si="18"/>
        <v>8.8564712232549092E-4</v>
      </c>
      <c r="I102" s="418">
        <f t="shared" si="18"/>
        <v>8.8564712232549092E-4</v>
      </c>
      <c r="J102" s="418">
        <f t="shared" si="18"/>
        <v>8.8564712232549092E-4</v>
      </c>
      <c r="K102" s="418">
        <f t="shared" si="18"/>
        <v>8.8564712232549092E-4</v>
      </c>
      <c r="L102" s="418">
        <f t="shared" si="18"/>
        <v>8.8564712232549092E-4</v>
      </c>
      <c r="M102" s="418">
        <f t="shared" si="18"/>
        <v>8.8564712232549092E-4</v>
      </c>
    </row>
    <row r="103" spans="2:13" x14ac:dyDescent="0.15">
      <c r="B103" s="8" t="s">
        <v>976</v>
      </c>
      <c r="G103" s="418">
        <f t="shared" si="18"/>
        <v>3.3738461792118999E-3</v>
      </c>
      <c r="H103" s="418">
        <f t="shared" si="18"/>
        <v>3.3738461792118999E-3</v>
      </c>
      <c r="I103" s="418">
        <f t="shared" si="18"/>
        <v>3.3738461792118999E-3</v>
      </c>
      <c r="J103" s="418">
        <f t="shared" si="18"/>
        <v>3.3738461792118999E-3</v>
      </c>
      <c r="K103" s="418">
        <f t="shared" si="18"/>
        <v>3.3738461792118999E-3</v>
      </c>
      <c r="L103" s="418">
        <f t="shared" si="18"/>
        <v>3.3738461792118999E-3</v>
      </c>
      <c r="M103" s="418">
        <f t="shared" si="18"/>
        <v>3.3738461792118999E-3</v>
      </c>
    </row>
    <row r="104" spans="2:13" x14ac:dyDescent="0.15">
      <c r="B104" s="8" t="s">
        <v>977</v>
      </c>
      <c r="G104" s="418">
        <f t="shared" si="18"/>
        <v>1.7941019030019097E-2</v>
      </c>
      <c r="H104" s="418">
        <f t="shared" si="18"/>
        <v>1.7941019030019097E-2</v>
      </c>
      <c r="I104" s="418">
        <f t="shared" si="18"/>
        <v>1.7941019030019097E-2</v>
      </c>
      <c r="J104" s="418">
        <f t="shared" si="18"/>
        <v>1.7941019030019097E-2</v>
      </c>
      <c r="K104" s="418">
        <f t="shared" si="18"/>
        <v>1.7941019030019097E-2</v>
      </c>
      <c r="L104" s="418">
        <f t="shared" si="18"/>
        <v>1.7941019030019097E-2</v>
      </c>
      <c r="M104" s="418">
        <f t="shared" si="18"/>
        <v>1.7941019030019097E-2</v>
      </c>
    </row>
    <row r="105" spans="2:13" x14ac:dyDescent="0.15">
      <c r="B105" s="8" t="s">
        <v>978</v>
      </c>
      <c r="G105" s="418">
        <f t="shared" si="18"/>
        <v>3.8194076138302731E-2</v>
      </c>
      <c r="H105" s="418">
        <f t="shared" si="18"/>
        <v>3.8194076138302731E-2</v>
      </c>
      <c r="I105" s="418">
        <f t="shared" si="18"/>
        <v>3.8194076138302731E-2</v>
      </c>
      <c r="J105" s="418">
        <f t="shared" si="18"/>
        <v>3.8194076138302731E-2</v>
      </c>
      <c r="K105" s="418">
        <f t="shared" si="18"/>
        <v>3.8194076138302731E-2</v>
      </c>
      <c r="L105" s="418">
        <f t="shared" si="18"/>
        <v>3.8194076138302731E-2</v>
      </c>
      <c r="M105" s="418">
        <f t="shared" si="18"/>
        <v>3.8194076138302731E-2</v>
      </c>
    </row>
    <row r="106" spans="2:13" x14ac:dyDescent="0.15">
      <c r="B106" s="8" t="s">
        <v>979</v>
      </c>
      <c r="G106" s="418">
        <f t="shared" si="18"/>
        <v>3.1190492020079447E-3</v>
      </c>
      <c r="H106" s="418">
        <f t="shared" si="18"/>
        <v>3.1190492020079447E-3</v>
      </c>
      <c r="I106" s="418">
        <f t="shared" si="18"/>
        <v>3.1190492020079447E-3</v>
      </c>
      <c r="J106" s="418">
        <f t="shared" si="18"/>
        <v>3.1190492020079447E-3</v>
      </c>
      <c r="K106" s="418">
        <f t="shared" si="18"/>
        <v>3.1190492020079447E-3</v>
      </c>
      <c r="L106" s="418">
        <f t="shared" si="18"/>
        <v>3.1190492020079447E-3</v>
      </c>
      <c r="M106" s="418">
        <f t="shared" si="18"/>
        <v>3.1190492020079447E-3</v>
      </c>
    </row>
    <row r="107" spans="2:13" x14ac:dyDescent="0.15">
      <c r="B107" s="8" t="s">
        <v>980</v>
      </c>
      <c r="G107" s="418">
        <f t="shared" ca="1" si="18"/>
        <v>10</v>
      </c>
      <c r="H107" s="418">
        <f t="shared" ca="1" si="18"/>
        <v>10</v>
      </c>
      <c r="I107" s="418">
        <f t="shared" ca="1" si="18"/>
        <v>10</v>
      </c>
      <c r="J107" s="418">
        <f t="shared" ca="1" si="18"/>
        <v>10</v>
      </c>
      <c r="K107" s="418">
        <f t="shared" ca="1" si="18"/>
        <v>10</v>
      </c>
      <c r="L107" s="418">
        <f t="shared" ca="1" si="18"/>
        <v>10</v>
      </c>
      <c r="M107" s="418">
        <f t="shared" ca="1" si="18"/>
        <v>10</v>
      </c>
    </row>
    <row r="108" spans="2:13" x14ac:dyDescent="0.15">
      <c r="B108" s="8" t="s">
        <v>981</v>
      </c>
      <c r="G108" s="418">
        <f t="shared" si="18"/>
        <v>3</v>
      </c>
      <c r="H108" s="418">
        <f t="shared" si="18"/>
        <v>3</v>
      </c>
      <c r="I108" s="418">
        <f t="shared" si="18"/>
        <v>3</v>
      </c>
      <c r="J108" s="418">
        <f t="shared" si="18"/>
        <v>3</v>
      </c>
      <c r="K108" s="418">
        <f t="shared" si="18"/>
        <v>3</v>
      </c>
      <c r="L108" s="418">
        <f t="shared" si="18"/>
        <v>3</v>
      </c>
      <c r="M108" s="418">
        <f t="shared" si="18"/>
        <v>3</v>
      </c>
    </row>
    <row r="110" spans="2:13" ht="14" x14ac:dyDescent="0.15">
      <c r="B110" s="507" t="s">
        <v>998</v>
      </c>
    </row>
    <row r="111" spans="2:13" x14ac:dyDescent="0.15">
      <c r="B111" s="8" t="s">
        <v>983</v>
      </c>
      <c r="G111" s="418">
        <f t="shared" ref="G111:M111" ca="1" si="19">IF(G61 = 0, 0, FORECAST(G19, $C$215:$C$216, $F$215:$F$216)*($D192/(G61*G$24))^(1-$E192 ))</f>
        <v>36.459784054344901</v>
      </c>
      <c r="H111" s="418">
        <f t="shared" ca="1" si="19"/>
        <v>36.459784054344901</v>
      </c>
      <c r="I111" s="418">
        <f t="shared" ca="1" si="19"/>
        <v>36.459784054344901</v>
      </c>
      <c r="J111" s="418">
        <f t="shared" ca="1" si="19"/>
        <v>36.459784054344901</v>
      </c>
      <c r="K111" s="418">
        <f t="shared" ca="1" si="19"/>
        <v>36.459784054344901</v>
      </c>
      <c r="L111" s="418">
        <f t="shared" ca="1" si="19"/>
        <v>36.459784054344901</v>
      </c>
      <c r="M111" s="418">
        <f t="shared" ca="1" si="19"/>
        <v>36.459784054344901</v>
      </c>
    </row>
    <row r="112" spans="2:13" x14ac:dyDescent="0.15">
      <c r="B112" s="8" t="s">
        <v>984</v>
      </c>
      <c r="G112" s="418">
        <f t="shared" ref="G112:M118" si="20">IF(G62 = 0, 0, $C193*($D193/(G62*G$24))^(1-$E193 ))</f>
        <v>10</v>
      </c>
      <c r="H112" s="418">
        <f t="shared" si="20"/>
        <v>10</v>
      </c>
      <c r="I112" s="418">
        <f t="shared" si="20"/>
        <v>10</v>
      </c>
      <c r="J112" s="418">
        <f t="shared" si="20"/>
        <v>10</v>
      </c>
      <c r="K112" s="418">
        <f t="shared" si="20"/>
        <v>10</v>
      </c>
      <c r="L112" s="418">
        <f t="shared" si="20"/>
        <v>10</v>
      </c>
      <c r="M112" s="418">
        <f t="shared" si="20"/>
        <v>10</v>
      </c>
    </row>
    <row r="113" spans="2:13" x14ac:dyDescent="0.15">
      <c r="B113" s="8" t="s">
        <v>999</v>
      </c>
      <c r="G113" s="418">
        <f t="shared" ca="1" si="20"/>
        <v>6.7624333780624148</v>
      </c>
      <c r="H113" s="418">
        <f t="shared" ca="1" si="20"/>
        <v>6.7624333780624148</v>
      </c>
      <c r="I113" s="418">
        <f t="shared" ca="1" si="20"/>
        <v>6.7624333780624148</v>
      </c>
      <c r="J113" s="418">
        <f t="shared" ca="1" si="20"/>
        <v>6.7624333780624148</v>
      </c>
      <c r="K113" s="418">
        <f t="shared" ca="1" si="20"/>
        <v>6.7624333780624148</v>
      </c>
      <c r="L113" s="418">
        <f t="shared" ca="1" si="20"/>
        <v>6.7624333780624148</v>
      </c>
      <c r="M113" s="418">
        <f t="shared" ca="1" si="20"/>
        <v>6.7624333780624148</v>
      </c>
    </row>
    <row r="114" spans="2:13" x14ac:dyDescent="0.15">
      <c r="B114" s="8" t="s">
        <v>986</v>
      </c>
      <c r="G114" s="418">
        <f t="shared" si="20"/>
        <v>2.3849867448307744</v>
      </c>
      <c r="H114" s="418">
        <f t="shared" si="20"/>
        <v>2.3849867448307744</v>
      </c>
      <c r="I114" s="418">
        <f t="shared" si="20"/>
        <v>2.3849867448307744</v>
      </c>
      <c r="J114" s="418">
        <f t="shared" si="20"/>
        <v>2.3849867448307744</v>
      </c>
      <c r="K114" s="418">
        <f t="shared" si="20"/>
        <v>2.3849867448307744</v>
      </c>
      <c r="L114" s="418">
        <f t="shared" si="20"/>
        <v>2.3849867448307744</v>
      </c>
      <c r="M114" s="418">
        <f t="shared" si="20"/>
        <v>2.3849867448307744</v>
      </c>
    </row>
    <row r="115" spans="2:13" x14ac:dyDescent="0.15">
      <c r="B115" s="8" t="s">
        <v>987</v>
      </c>
      <c r="G115" s="418">
        <f t="shared" si="20"/>
        <v>0.67624333780624146</v>
      </c>
      <c r="H115" s="418">
        <f t="shared" si="20"/>
        <v>0.67624333780624146</v>
      </c>
      <c r="I115" s="418">
        <f t="shared" si="20"/>
        <v>0.67624333780624146</v>
      </c>
      <c r="J115" s="418">
        <f t="shared" si="20"/>
        <v>0.67624333780624146</v>
      </c>
      <c r="K115" s="418">
        <f t="shared" si="20"/>
        <v>0.67624333780624146</v>
      </c>
      <c r="L115" s="418">
        <f t="shared" si="20"/>
        <v>0.67624333780624146</v>
      </c>
      <c r="M115" s="418">
        <f t="shared" si="20"/>
        <v>0.67624333780624146</v>
      </c>
    </row>
    <row r="116" spans="2:13" x14ac:dyDescent="0.15">
      <c r="B116" s="8" t="s">
        <v>988</v>
      </c>
      <c r="G116" s="418">
        <f t="shared" si="20"/>
        <v>6.7624333780624148</v>
      </c>
      <c r="H116" s="418">
        <f t="shared" si="20"/>
        <v>6.7624333780624148</v>
      </c>
      <c r="I116" s="418">
        <f t="shared" si="20"/>
        <v>6.7624333780624148</v>
      </c>
      <c r="J116" s="418">
        <f t="shared" si="20"/>
        <v>6.7624333780624148</v>
      </c>
      <c r="K116" s="418">
        <f t="shared" si="20"/>
        <v>6.7624333780624148</v>
      </c>
      <c r="L116" s="418">
        <f t="shared" si="20"/>
        <v>6.7624333780624148</v>
      </c>
      <c r="M116" s="418">
        <f t="shared" si="20"/>
        <v>6.7624333780624148</v>
      </c>
    </row>
    <row r="117" spans="2:13" x14ac:dyDescent="0.15">
      <c r="B117" s="8" t="s">
        <v>989</v>
      </c>
      <c r="G117" s="418">
        <f t="shared" si="20"/>
        <v>2.0287300134187243</v>
      </c>
      <c r="H117" s="418">
        <f t="shared" si="20"/>
        <v>2.0287300134187243</v>
      </c>
      <c r="I117" s="418">
        <f t="shared" si="20"/>
        <v>2.0287300134187243</v>
      </c>
      <c r="J117" s="418">
        <f t="shared" si="20"/>
        <v>2.0287300134187243</v>
      </c>
      <c r="K117" s="418">
        <f t="shared" si="20"/>
        <v>2.0287300134187243</v>
      </c>
      <c r="L117" s="418">
        <f t="shared" si="20"/>
        <v>2.0287300134187243</v>
      </c>
      <c r="M117" s="418">
        <f t="shared" si="20"/>
        <v>2.0287300134187243</v>
      </c>
    </row>
    <row r="118" spans="2:13" x14ac:dyDescent="0.15">
      <c r="B118" s="8" t="s">
        <v>990</v>
      </c>
      <c r="G118" s="418">
        <f t="shared" ca="1" si="20"/>
        <v>24.017805599492494</v>
      </c>
      <c r="H118" s="418">
        <f t="shared" ca="1" si="20"/>
        <v>24.017805599492494</v>
      </c>
      <c r="I118" s="418">
        <f t="shared" ca="1" si="20"/>
        <v>24.017805599492494</v>
      </c>
      <c r="J118" s="418">
        <f t="shared" ca="1" si="20"/>
        <v>24.017805599492494</v>
      </c>
      <c r="K118" s="418">
        <f t="shared" ca="1" si="20"/>
        <v>24.017805599492494</v>
      </c>
      <c r="L118" s="418">
        <f t="shared" ca="1" si="20"/>
        <v>24.017805599492494</v>
      </c>
      <c r="M118" s="418">
        <f t="shared" ca="1" si="20"/>
        <v>24.017805599492494</v>
      </c>
    </row>
    <row r="120" spans="2:13" ht="14" x14ac:dyDescent="0.15">
      <c r="B120" s="507" t="s">
        <v>1000</v>
      </c>
    </row>
    <row r="121" spans="2:13" x14ac:dyDescent="0.15">
      <c r="B121" s="8" t="s">
        <v>992</v>
      </c>
      <c r="G121" s="418">
        <f t="shared" ref="G121:M121" ca="1" si="21">FORECAST(G19,$C$203:$C$204,  $D$203:$D$204)*G71</f>
        <v>52.559719047817993</v>
      </c>
      <c r="H121" s="418">
        <f t="shared" ca="1" si="21"/>
        <v>52.559719047817993</v>
      </c>
      <c r="I121" s="418">
        <f t="shared" ca="1" si="21"/>
        <v>52.559719047817993</v>
      </c>
      <c r="J121" s="418">
        <f t="shared" ca="1" si="21"/>
        <v>52.559719047817993</v>
      </c>
      <c r="K121" s="418">
        <f t="shared" ca="1" si="21"/>
        <v>52.559719047817993</v>
      </c>
      <c r="L121" s="418">
        <f t="shared" ca="1" si="21"/>
        <v>52.559719047817993</v>
      </c>
      <c r="M121" s="418">
        <f t="shared" ca="1" si="21"/>
        <v>52.559719047817993</v>
      </c>
    </row>
    <row r="123" spans="2:13" ht="14" x14ac:dyDescent="0.15">
      <c r="B123" s="507" t="s">
        <v>1001</v>
      </c>
    </row>
    <row r="124" spans="2:13" x14ac:dyDescent="0.15">
      <c r="B124" s="8" t="s">
        <v>994</v>
      </c>
      <c r="G124" s="418">
        <f t="shared" ref="G124:M126" si="22">IF(G74 = 0, 0, $C209*($D209/(G74*G$24))^(1-$E209 ))</f>
        <v>0.13105093404948337</v>
      </c>
      <c r="H124" s="418">
        <f t="shared" si="22"/>
        <v>0.13105093404948337</v>
      </c>
      <c r="I124" s="418">
        <f t="shared" si="22"/>
        <v>0.13105093404948337</v>
      </c>
      <c r="J124" s="418">
        <f t="shared" si="22"/>
        <v>0.13105093404948337</v>
      </c>
      <c r="K124" s="418">
        <f t="shared" si="22"/>
        <v>0.13105093404948337</v>
      </c>
      <c r="L124" s="418">
        <f t="shared" si="22"/>
        <v>0.13105093404948337</v>
      </c>
      <c r="M124" s="418">
        <f t="shared" si="22"/>
        <v>0.13105093404948337</v>
      </c>
    </row>
    <row r="125" spans="2:13" x14ac:dyDescent="0.15">
      <c r="B125" s="8" t="s">
        <v>1002</v>
      </c>
      <c r="G125" s="418">
        <f t="shared" si="22"/>
        <v>0.13746419640928109</v>
      </c>
      <c r="H125" s="418">
        <f t="shared" si="22"/>
        <v>0.13746419640928109</v>
      </c>
      <c r="I125" s="418">
        <f t="shared" si="22"/>
        <v>0.13746419640928109</v>
      </c>
      <c r="J125" s="418">
        <f t="shared" si="22"/>
        <v>0.13746419640928109</v>
      </c>
      <c r="K125" s="418">
        <f t="shared" si="22"/>
        <v>0.13746419640928109</v>
      </c>
      <c r="L125" s="418">
        <f t="shared" si="22"/>
        <v>0.13746419640928109</v>
      </c>
      <c r="M125" s="418">
        <f t="shared" si="22"/>
        <v>0.13746419640928109</v>
      </c>
    </row>
    <row r="126" spans="2:13" x14ac:dyDescent="0.15">
      <c r="B126" s="8" t="s">
        <v>996</v>
      </c>
      <c r="G126" s="418">
        <f t="shared" si="22"/>
        <v>0.5</v>
      </c>
      <c r="H126" s="418">
        <f t="shared" si="22"/>
        <v>0.5</v>
      </c>
      <c r="I126" s="418">
        <f t="shared" si="22"/>
        <v>0.5</v>
      </c>
      <c r="J126" s="418">
        <f t="shared" si="22"/>
        <v>0.5</v>
      </c>
      <c r="K126" s="418">
        <f t="shared" si="22"/>
        <v>0.5</v>
      </c>
      <c r="L126" s="418">
        <f t="shared" si="22"/>
        <v>0.5</v>
      </c>
      <c r="M126" s="418">
        <f t="shared" si="22"/>
        <v>0.5</v>
      </c>
    </row>
    <row r="127" spans="2:13" ht="15" x14ac:dyDescent="0.2">
      <c r="B127" s="417"/>
      <c r="C127" s="8"/>
    </row>
    <row r="128" spans="2:13" ht="16" x14ac:dyDescent="0.2">
      <c r="B128" s="5" t="s">
        <v>1003</v>
      </c>
      <c r="C128" s="5"/>
      <c r="D128" s="5"/>
      <c r="E128" s="5"/>
      <c r="F128" s="5"/>
      <c r="G128" s="5"/>
      <c r="H128" s="5"/>
      <c r="I128" s="5"/>
    </row>
    <row r="129" spans="1:14" x14ac:dyDescent="0.15">
      <c r="B129" s="8" t="s">
        <v>1004</v>
      </c>
      <c r="C129" s="8"/>
      <c r="G129" s="420">
        <f t="array" aca="1" ref="G129" ca="1">SUM(G80:G108*G30:G58)</f>
        <v>121.65627819634923</v>
      </c>
      <c r="H129" s="420">
        <f t="array" aca="1" ref="H129" ca="1">SUM(H80:H108*H30:H58)</f>
        <v>121.65627819634923</v>
      </c>
      <c r="I129" s="420">
        <f t="array" aca="1" ref="I129" ca="1">SUM(I80:I108*I30:I58)</f>
        <v>121.65627819634923</v>
      </c>
      <c r="J129" s="420">
        <f t="array" aca="1" ref="J129" ca="1">SUM(J80:J108*J30:J58)</f>
        <v>121.65627819634923</v>
      </c>
      <c r="K129" s="420">
        <f t="array" aca="1" ref="K129" ca="1">SUM(K80:K108*K30:K58)</f>
        <v>121.65627819634923</v>
      </c>
      <c r="L129" s="420">
        <f t="array" aca="1" ref="L129" ca="1">SUM(L80:L108*L30:L58)</f>
        <v>121.65627819634923</v>
      </c>
      <c r="M129" s="420">
        <f t="array" aca="1" ref="M129" ca="1">SUM(M80:M108*M30:M58)</f>
        <v>121.65627819634923</v>
      </c>
    </row>
    <row r="130" spans="1:14" x14ac:dyDescent="0.15">
      <c r="B130" s="8" t="s">
        <v>1005</v>
      </c>
      <c r="C130" s="8"/>
      <c r="G130" s="420">
        <f t="array" aca="1" ref="G130" ca="1">SUM(G61:G68*G111:G118)</f>
        <v>135.55220056036285</v>
      </c>
      <c r="H130" s="420">
        <f t="array" aca="1" ref="H130" ca="1">SUM(H61:H68*H111:H118)</f>
        <v>135.55220056036285</v>
      </c>
      <c r="I130" s="420">
        <f t="array" aca="1" ref="I130" ca="1">SUM(I61:I68*I111:I118)</f>
        <v>135.55220056036285</v>
      </c>
      <c r="J130" s="420">
        <f t="array" aca="1" ref="J130" ca="1">SUM(J61:J68*J111:J118)</f>
        <v>135.55220056036285</v>
      </c>
      <c r="K130" s="420">
        <f t="array" aca="1" ref="K130" ca="1">SUM(K61:K68*K111:K118)</f>
        <v>135.55220056036285</v>
      </c>
      <c r="L130" s="420">
        <f t="array" aca="1" ref="L130" ca="1">SUM(L61:L68*L111:L118)</f>
        <v>135.55220056036285</v>
      </c>
      <c r="M130" s="420">
        <f t="array" aca="1" ref="M130" ca="1">SUM(M61:M68*M111:M118)</f>
        <v>135.55220056036285</v>
      </c>
    </row>
    <row r="131" spans="1:14" x14ac:dyDescent="0.15">
      <c r="B131" s="8" t="s">
        <v>1006</v>
      </c>
      <c r="C131" s="8"/>
      <c r="G131" s="420">
        <f ca="1">G121</f>
        <v>52.559719047817993</v>
      </c>
      <c r="H131" s="420">
        <f t="shared" ref="H131:M131" ca="1" si="23">H121</f>
        <v>52.559719047817993</v>
      </c>
      <c r="I131" s="420">
        <f t="shared" ca="1" si="23"/>
        <v>52.559719047817993</v>
      </c>
      <c r="J131" s="420">
        <f t="shared" ca="1" si="23"/>
        <v>52.559719047817993</v>
      </c>
      <c r="K131" s="420">
        <f t="shared" ca="1" si="23"/>
        <v>52.559719047817993</v>
      </c>
      <c r="L131" s="420">
        <f t="shared" ca="1" si="23"/>
        <v>52.559719047817993</v>
      </c>
      <c r="M131" s="420">
        <f t="shared" ca="1" si="23"/>
        <v>52.559719047817993</v>
      </c>
    </row>
    <row r="132" spans="1:14" x14ac:dyDescent="0.15">
      <c r="B132" s="8" t="s">
        <v>993</v>
      </c>
      <c r="C132" s="8"/>
      <c r="G132" s="420">
        <f t="array" ref="G132">SUM(G124:G126*G74:G76)</f>
        <v>44.604701740076145</v>
      </c>
      <c r="H132" s="420">
        <f t="array" ref="H132">SUM(H124:H126*H74:H76)</f>
        <v>44.604701740076145</v>
      </c>
      <c r="I132" s="420">
        <f t="array" ref="I132">SUM(I124:I126*I74:I76)</f>
        <v>44.604701740076145</v>
      </c>
      <c r="J132" s="420">
        <f t="array" ref="J132">SUM(J124:J126*J74:J76)</f>
        <v>44.604701740076145</v>
      </c>
      <c r="K132" s="420">
        <f t="array" ref="K132">SUM(K124:K126*K74:K76)</f>
        <v>44.604701740076145</v>
      </c>
      <c r="L132" s="420">
        <f t="array" ref="L132">SUM(L124:L126*L74:L76)</f>
        <v>44.604701740076145</v>
      </c>
      <c r="M132" s="420">
        <f t="array" ref="M132">SUM(M124:M126*M74:M76)</f>
        <v>44.604701740076145</v>
      </c>
    </row>
    <row r="133" spans="1:14" x14ac:dyDescent="0.15">
      <c r="A133" s="8" t="s">
        <v>280</v>
      </c>
      <c r="B133" s="26" t="s">
        <v>1007</v>
      </c>
      <c r="G133" s="560">
        <f ca="1">SUM(G129:G132)</f>
        <v>354.3728995446063</v>
      </c>
      <c r="H133" s="560">
        <f t="shared" ref="H133:M133" ca="1" si="24">SUM(H129:H132)</f>
        <v>354.3728995446063</v>
      </c>
      <c r="I133" s="560">
        <f t="shared" ca="1" si="24"/>
        <v>354.3728995446063</v>
      </c>
      <c r="J133" s="560">
        <f t="shared" ca="1" si="24"/>
        <v>354.3728995446063</v>
      </c>
      <c r="K133" s="560">
        <f t="shared" ca="1" si="24"/>
        <v>354.3728995446063</v>
      </c>
      <c r="L133" s="560">
        <f t="shared" ca="1" si="24"/>
        <v>354.3728995446063</v>
      </c>
      <c r="M133" s="560">
        <f t="shared" ca="1" si="24"/>
        <v>354.3728995446063</v>
      </c>
    </row>
    <row r="135" spans="1:14" ht="16" x14ac:dyDescent="0.2">
      <c r="B135" s="5" t="s">
        <v>1008</v>
      </c>
      <c r="C135" s="5"/>
      <c r="D135" s="5"/>
      <c r="E135" s="5"/>
      <c r="F135" s="5"/>
      <c r="G135" s="5"/>
      <c r="H135" s="5"/>
      <c r="I135" s="5"/>
    </row>
    <row r="136" spans="1:14" ht="16" x14ac:dyDescent="0.2">
      <c r="B136" s="8" t="s">
        <v>1009</v>
      </c>
      <c r="C136" s="5"/>
      <c r="D136" s="5"/>
      <c r="E136" s="5"/>
      <c r="F136" s="5"/>
      <c r="G136" s="377">
        <f>0.04</f>
        <v>0.04</v>
      </c>
      <c r="H136" s="377">
        <f t="shared" ref="H136:M136" si="25">0.04</f>
        <v>0.04</v>
      </c>
      <c r="I136" s="377">
        <f t="shared" si="25"/>
        <v>0.04</v>
      </c>
      <c r="J136" s="377">
        <f t="shared" si="25"/>
        <v>0.04</v>
      </c>
      <c r="K136" s="377">
        <f t="shared" si="25"/>
        <v>0.04</v>
      </c>
      <c r="L136" s="377">
        <f t="shared" si="25"/>
        <v>0.04</v>
      </c>
      <c r="M136" s="377">
        <f t="shared" si="25"/>
        <v>0.04</v>
      </c>
    </row>
    <row r="137" spans="1:14" ht="16" x14ac:dyDescent="0.2">
      <c r="B137" s="8" t="s">
        <v>1010</v>
      </c>
      <c r="C137" s="5"/>
      <c r="D137" s="5"/>
      <c r="E137" s="5"/>
      <c r="F137" s="5"/>
      <c r="G137" s="377">
        <f>0.02</f>
        <v>0.02</v>
      </c>
      <c r="H137" s="377">
        <f t="shared" ref="H137:M137" si="26">0.02</f>
        <v>0.02</v>
      </c>
      <c r="I137" s="377">
        <f t="shared" si="26"/>
        <v>0.02</v>
      </c>
      <c r="J137" s="377">
        <f t="shared" si="26"/>
        <v>0.02</v>
      </c>
      <c r="K137" s="377">
        <f t="shared" si="26"/>
        <v>0.02</v>
      </c>
      <c r="L137" s="377">
        <f t="shared" si="26"/>
        <v>0.02</v>
      </c>
      <c r="M137" s="377">
        <f t="shared" si="26"/>
        <v>0.02</v>
      </c>
    </row>
    <row r="138" spans="1:14" x14ac:dyDescent="0.15">
      <c r="B138" s="8" t="s">
        <v>1011</v>
      </c>
      <c r="C138" s="8"/>
      <c r="G138" s="15">
        <f ca="1">G30*G61*G136+G137*G23</f>
        <v>0.28000000000000003</v>
      </c>
      <c r="H138" s="15">
        <f t="shared" ref="H138:M138" ca="1" si="27">H30*H61*H136+H137*H23</f>
        <v>0.28000000000000003</v>
      </c>
      <c r="I138" s="15">
        <f t="shared" ca="1" si="27"/>
        <v>0.28000000000000003</v>
      </c>
      <c r="J138" s="15">
        <f t="shared" ca="1" si="27"/>
        <v>0.28000000000000003</v>
      </c>
      <c r="K138" s="15">
        <f t="shared" ca="1" si="27"/>
        <v>0.28000000000000003</v>
      </c>
      <c r="L138" s="15">
        <f t="shared" ca="1" si="27"/>
        <v>0.28000000000000003</v>
      </c>
      <c r="M138" s="15">
        <f t="shared" ca="1" si="27"/>
        <v>0.28000000000000003</v>
      </c>
      <c r="N138" s="562"/>
    </row>
    <row r="139" spans="1:14" x14ac:dyDescent="0.15">
      <c r="B139" s="8" t="s">
        <v>998</v>
      </c>
      <c r="C139" s="8"/>
      <c r="G139" s="15" cm="1">
        <f t="array" aca="1" ref="G139" ca="1">SUM($K$192:$K$199*G61:G68)*0.001</f>
        <v>2.444</v>
      </c>
      <c r="H139" s="15">
        <f t="array" aca="1" ref="H139" ca="1">SUM($K$192:$K$199*H61:H68)*0.001</f>
        <v>2.444</v>
      </c>
      <c r="I139" s="15">
        <f t="array" aca="1" ref="I139" ca="1">SUM($K$192:$K$199*I61:I68)*0.001</f>
        <v>2.444</v>
      </c>
      <c r="J139" s="15">
        <f t="array" aca="1" ref="J139" ca="1">SUM($K$192:$K$199*J61:J68)*0.001</f>
        <v>2.444</v>
      </c>
      <c r="K139" s="15">
        <f t="array" aca="1" ref="K139" ca="1">SUM($K$192:$K$199*K61:K68)*0.001</f>
        <v>2.444</v>
      </c>
      <c r="L139" s="15">
        <f t="array" aca="1" ref="L139" ca="1">SUM($K$192:$K$199*L61:L68)*0.001</f>
        <v>2.444</v>
      </c>
      <c r="M139" s="15">
        <f t="array" aca="1" ref="M139" ca="1">SUM($K$192:$K$199*M61:M68)*0.001</f>
        <v>2.444</v>
      </c>
      <c r="N139" s="562"/>
    </row>
    <row r="140" spans="1:14" x14ac:dyDescent="0.15">
      <c r="B140" s="8" t="s">
        <v>1012</v>
      </c>
      <c r="C140" s="8"/>
      <c r="G140" s="15">
        <f ca="1">0.1*G138</f>
        <v>2.8000000000000004E-2</v>
      </c>
      <c r="H140" s="15">
        <f t="shared" ref="H140:M140" ca="1" si="28">0.1*H138</f>
        <v>2.8000000000000004E-2</v>
      </c>
      <c r="I140" s="15">
        <f t="shared" ca="1" si="28"/>
        <v>2.8000000000000004E-2</v>
      </c>
      <c r="J140" s="15">
        <f t="shared" ca="1" si="28"/>
        <v>2.8000000000000004E-2</v>
      </c>
      <c r="K140" s="15">
        <f t="shared" ca="1" si="28"/>
        <v>2.8000000000000004E-2</v>
      </c>
      <c r="L140" s="15">
        <f t="shared" ca="1" si="28"/>
        <v>2.8000000000000004E-2</v>
      </c>
      <c r="M140" s="15">
        <f t="shared" ca="1" si="28"/>
        <v>2.8000000000000004E-2</v>
      </c>
    </row>
    <row r="141" spans="1:14" x14ac:dyDescent="0.15">
      <c r="B141" s="8" t="s">
        <v>1013</v>
      </c>
      <c r="C141" s="8"/>
      <c r="G141" s="15">
        <f t="shared" ref="G141:M141" ca="1" si="29">0.3*SUM(G138:G140)</f>
        <v>0.8256</v>
      </c>
      <c r="H141" s="15">
        <f t="shared" ca="1" si="29"/>
        <v>0.8256</v>
      </c>
      <c r="I141" s="15">
        <f t="shared" ca="1" si="29"/>
        <v>0.8256</v>
      </c>
      <c r="J141" s="15">
        <f t="shared" ca="1" si="29"/>
        <v>0.8256</v>
      </c>
      <c r="K141" s="15">
        <f t="shared" ca="1" si="29"/>
        <v>0.8256</v>
      </c>
      <c r="L141" s="15">
        <f t="shared" ca="1" si="29"/>
        <v>0.8256</v>
      </c>
      <c r="M141" s="15">
        <f t="shared" ca="1" si="29"/>
        <v>0.8256</v>
      </c>
    </row>
    <row r="142" spans="1:14" x14ac:dyDescent="0.15">
      <c r="A142" s="8" t="s">
        <v>280</v>
      </c>
      <c r="B142" s="26" t="s">
        <v>1008</v>
      </c>
      <c r="C142" s="8"/>
      <c r="G142" s="15">
        <f t="shared" ref="G142:M142" ca="1" si="30">SUM(G138:G141)</f>
        <v>3.5776000000000003</v>
      </c>
      <c r="H142" s="15">
        <f t="shared" ca="1" si="30"/>
        <v>3.5776000000000003</v>
      </c>
      <c r="I142" s="15">
        <f t="shared" ca="1" si="30"/>
        <v>3.5776000000000003</v>
      </c>
      <c r="J142" s="15">
        <f t="shared" ca="1" si="30"/>
        <v>3.5776000000000003</v>
      </c>
      <c r="K142" s="15">
        <f t="shared" ca="1" si="30"/>
        <v>3.5776000000000003</v>
      </c>
      <c r="L142" s="15">
        <f t="shared" ca="1" si="30"/>
        <v>3.5776000000000003</v>
      </c>
      <c r="M142" s="15">
        <f t="shared" ca="1" si="30"/>
        <v>3.5776000000000003</v>
      </c>
    </row>
    <row r="144" spans="1:14" ht="16" x14ac:dyDescent="0.2">
      <c r="B144" s="5" t="s">
        <v>1014</v>
      </c>
      <c r="C144" s="5"/>
      <c r="D144" s="5"/>
      <c r="E144" s="5"/>
      <c r="F144" s="5"/>
      <c r="G144" s="5"/>
      <c r="H144" s="5"/>
      <c r="I144" s="5"/>
    </row>
    <row r="145" spans="1:14" ht="16" x14ac:dyDescent="0.2">
      <c r="B145" s="8" t="s">
        <v>1015</v>
      </c>
      <c r="C145" s="5"/>
      <c r="D145" s="5"/>
      <c r="E145" s="5"/>
      <c r="F145" s="5"/>
      <c r="G145" s="377">
        <f>0.16</f>
        <v>0.16</v>
      </c>
      <c r="H145" s="377">
        <f t="shared" ref="H145:M145" si="31">0.16</f>
        <v>0.16</v>
      </c>
      <c r="I145" s="377">
        <f t="shared" si="31"/>
        <v>0.16</v>
      </c>
      <c r="J145" s="377">
        <f t="shared" si="31"/>
        <v>0.16</v>
      </c>
      <c r="K145" s="377">
        <f t="shared" si="31"/>
        <v>0.16</v>
      </c>
      <c r="L145" s="377">
        <f t="shared" si="31"/>
        <v>0.16</v>
      </c>
      <c r="M145" s="377">
        <f t="shared" si="31"/>
        <v>0.16</v>
      </c>
    </row>
    <row r="146" spans="1:14" ht="16" x14ac:dyDescent="0.2">
      <c r="B146" s="8" t="s">
        <v>1016</v>
      </c>
      <c r="C146" s="5"/>
      <c r="D146" s="5"/>
      <c r="E146" s="5"/>
      <c r="F146" s="5"/>
      <c r="G146" s="377">
        <f>0.08</f>
        <v>0.08</v>
      </c>
      <c r="H146" s="377">
        <f t="shared" ref="H146:M146" si="32">0.08</f>
        <v>0.08</v>
      </c>
      <c r="I146" s="377">
        <f t="shared" si="32"/>
        <v>0.08</v>
      </c>
      <c r="J146" s="377">
        <f t="shared" si="32"/>
        <v>0.08</v>
      </c>
      <c r="K146" s="377">
        <f t="shared" si="32"/>
        <v>0.08</v>
      </c>
      <c r="L146" s="377">
        <f t="shared" si="32"/>
        <v>0.08</v>
      </c>
      <c r="M146" s="377">
        <f t="shared" si="32"/>
        <v>0.08</v>
      </c>
    </row>
    <row r="147" spans="1:14" x14ac:dyDescent="0.15">
      <c r="B147" s="8" t="s">
        <v>1017</v>
      </c>
      <c r="C147" s="8"/>
      <c r="G147" s="15">
        <f ca="1">G30*G145*G61+G146*G23</f>
        <v>1.1200000000000001</v>
      </c>
      <c r="H147" s="15">
        <f t="shared" ref="H147:M147" ca="1" si="33">H30*H145*H61+H146*H23</f>
        <v>1.1200000000000001</v>
      </c>
      <c r="I147" s="15">
        <f t="shared" ca="1" si="33"/>
        <v>1.1200000000000001</v>
      </c>
      <c r="J147" s="15">
        <f t="shared" ca="1" si="33"/>
        <v>1.1200000000000001</v>
      </c>
      <c r="K147" s="15">
        <f t="shared" ca="1" si="33"/>
        <v>1.1200000000000001</v>
      </c>
      <c r="L147" s="15">
        <f t="shared" ca="1" si="33"/>
        <v>1.1200000000000001</v>
      </c>
      <c r="M147" s="15">
        <f t="shared" ca="1" si="33"/>
        <v>1.1200000000000001</v>
      </c>
      <c r="N147" s="562"/>
    </row>
    <row r="148" spans="1:14" x14ac:dyDescent="0.15">
      <c r="B148" s="8" t="s">
        <v>998</v>
      </c>
      <c r="C148" s="8"/>
      <c r="G148" s="15" cm="1">
        <f t="array" aca="1" ref="G148" ca="1">SUM($J$192:$J$199*G61:G68)</f>
        <v>1.5485</v>
      </c>
      <c r="H148" s="15" cm="1">
        <f t="array" aca="1" ref="H148" ca="1">SUM($J$192:$J$199*H61:H68)</f>
        <v>1.5485</v>
      </c>
      <c r="I148" s="15" cm="1">
        <f t="array" aca="1" ref="I148" ca="1">SUM($J$192:$J$199*I61:I68)</f>
        <v>1.5485</v>
      </c>
      <c r="J148" s="15" cm="1">
        <f t="array" aca="1" ref="J148" ca="1">SUM($J$192:$J$199*J61:J68)</f>
        <v>1.5485</v>
      </c>
      <c r="K148" s="15" cm="1">
        <f t="array" aca="1" ref="K148" ca="1">SUM($J$192:$J$199*K61:K68)</f>
        <v>1.5485</v>
      </c>
      <c r="L148" s="15" cm="1">
        <f t="array" aca="1" ref="L148" ca="1">SUM($J$192:$J$199*L61:L68)</f>
        <v>1.5485</v>
      </c>
      <c r="M148" s="15" cm="1">
        <f t="array" aca="1" ref="M148" ca="1">SUM($J$192:$J$199*M61:M68)</f>
        <v>1.5485</v>
      </c>
      <c r="N148" s="562"/>
    </row>
    <row r="149" spans="1:14" x14ac:dyDescent="0.15">
      <c r="B149" s="8" t="s">
        <v>1012</v>
      </c>
      <c r="C149" s="8"/>
      <c r="G149" s="15">
        <f ca="1">0.1*G147</f>
        <v>0.11200000000000002</v>
      </c>
      <c r="H149" s="15">
        <f t="shared" ref="H149:M149" ca="1" si="34">0.1*H147</f>
        <v>0.11200000000000002</v>
      </c>
      <c r="I149" s="15">
        <f t="shared" ca="1" si="34"/>
        <v>0.11200000000000002</v>
      </c>
      <c r="J149" s="15">
        <f t="shared" ca="1" si="34"/>
        <v>0.11200000000000002</v>
      </c>
      <c r="K149" s="15">
        <f t="shared" ca="1" si="34"/>
        <v>0.11200000000000002</v>
      </c>
      <c r="L149" s="15">
        <f t="shared" ca="1" si="34"/>
        <v>0.11200000000000002</v>
      </c>
      <c r="M149" s="15">
        <f t="shared" ca="1" si="34"/>
        <v>0.11200000000000002</v>
      </c>
    </row>
    <row r="150" spans="1:14" x14ac:dyDescent="0.15">
      <c r="B150" s="8" t="s">
        <v>1013</v>
      </c>
      <c r="C150" s="8"/>
      <c r="G150" s="15">
        <f t="shared" ref="G150:M150" ca="1" si="35">0.3*SUM(G147:G149)</f>
        <v>0.83414999999999995</v>
      </c>
      <c r="H150" s="15">
        <f t="shared" ca="1" si="35"/>
        <v>0.83414999999999995</v>
      </c>
      <c r="I150" s="15">
        <f t="shared" ca="1" si="35"/>
        <v>0.83414999999999995</v>
      </c>
      <c r="J150" s="15">
        <f t="shared" ca="1" si="35"/>
        <v>0.83414999999999995</v>
      </c>
      <c r="K150" s="15">
        <f t="shared" ca="1" si="35"/>
        <v>0.83414999999999995</v>
      </c>
      <c r="L150" s="15">
        <f t="shared" ca="1" si="35"/>
        <v>0.83414999999999995</v>
      </c>
      <c r="M150" s="15">
        <f t="shared" ca="1" si="35"/>
        <v>0.83414999999999995</v>
      </c>
    </row>
    <row r="151" spans="1:14" x14ac:dyDescent="0.15">
      <c r="A151" s="8" t="s">
        <v>280</v>
      </c>
      <c r="B151" s="26" t="s">
        <v>1014</v>
      </c>
      <c r="C151" s="8"/>
      <c r="G151" s="15">
        <f t="shared" ref="G151:M151" ca="1" si="36">SUM(G147:G150)</f>
        <v>3.6146500000000001</v>
      </c>
      <c r="H151" s="15">
        <f t="shared" ca="1" si="36"/>
        <v>3.6146500000000001</v>
      </c>
      <c r="I151" s="15">
        <f t="shared" ca="1" si="36"/>
        <v>3.6146500000000001</v>
      </c>
      <c r="J151" s="15">
        <f t="shared" ca="1" si="36"/>
        <v>3.6146500000000001</v>
      </c>
      <c r="K151" s="15">
        <f t="shared" ca="1" si="36"/>
        <v>3.6146500000000001</v>
      </c>
      <c r="L151" s="15">
        <f t="shared" ca="1" si="36"/>
        <v>3.6146500000000001</v>
      </c>
      <c r="M151" s="15">
        <f t="shared" ca="1" si="36"/>
        <v>3.6146500000000001</v>
      </c>
    </row>
    <row r="152" spans="1:14" ht="14" thickBot="1" x14ac:dyDescent="0.2">
      <c r="C152" s="8"/>
    </row>
    <row r="153" spans="1:14" ht="21" thickBot="1" x14ac:dyDescent="0.25">
      <c r="B153" s="1262" t="s">
        <v>1018</v>
      </c>
      <c r="C153" s="1263"/>
      <c r="D153" s="1263"/>
      <c r="E153" s="1263"/>
      <c r="F153" s="1263"/>
      <c r="G153" s="1263"/>
      <c r="H153" s="1263"/>
      <c r="I153" s="1263"/>
      <c r="J153" s="1263"/>
      <c r="K153" s="1263"/>
      <c r="L153" s="1263"/>
      <c r="M153" s="1264"/>
    </row>
    <row r="156" spans="1:14" x14ac:dyDescent="0.15">
      <c r="B156" s="8" t="s">
        <v>1019</v>
      </c>
      <c r="C156" s="746">
        <v>0.9</v>
      </c>
    </row>
    <row r="158" spans="1:14" ht="16" x14ac:dyDescent="0.2">
      <c r="C158" s="5"/>
      <c r="D158" s="1214" t="s">
        <v>1020</v>
      </c>
      <c r="E158" s="5"/>
      <c r="F158" s="1214" t="s">
        <v>1021</v>
      </c>
      <c r="G158" s="5"/>
      <c r="H158" s="1214" t="s">
        <v>1022</v>
      </c>
      <c r="I158" s="1214" t="s">
        <v>1023</v>
      </c>
    </row>
    <row r="159" spans="1:14" ht="15" x14ac:dyDescent="0.2">
      <c r="B159" s="559" t="s">
        <v>1004</v>
      </c>
      <c r="C159" s="25" t="s">
        <v>1024</v>
      </c>
      <c r="D159" s="1217" t="s">
        <v>1025</v>
      </c>
      <c r="E159" s="421" t="s">
        <v>1026</v>
      </c>
      <c r="F159" s="1217" t="s">
        <v>676</v>
      </c>
      <c r="G159" s="25" t="s">
        <v>1027</v>
      </c>
      <c r="H159" s="1217" t="s">
        <v>1028</v>
      </c>
      <c r="I159" s="1217" t="s">
        <v>1029</v>
      </c>
    </row>
    <row r="160" spans="1:14" x14ac:dyDescent="0.15">
      <c r="B160" s="8" t="s">
        <v>953</v>
      </c>
      <c r="C160" s="418">
        <v>5</v>
      </c>
      <c r="D160" s="8">
        <v>1000</v>
      </c>
      <c r="E160" s="8">
        <f>$C$156</f>
        <v>0.9</v>
      </c>
      <c r="F160" s="8">
        <v>1</v>
      </c>
      <c r="G160" s="8">
        <v>0</v>
      </c>
      <c r="H160" s="8">
        <v>0</v>
      </c>
      <c r="I160" s="8">
        <v>1</v>
      </c>
    </row>
    <row r="161" spans="2:9" x14ac:dyDescent="0.15">
      <c r="B161" s="8" t="s">
        <v>954</v>
      </c>
      <c r="C161" s="418">
        <v>1.58</v>
      </c>
      <c r="D161" s="8">
        <v>5000</v>
      </c>
      <c r="E161" s="8">
        <f t="shared" ref="E161:E186" si="37">$C$156</f>
        <v>0.9</v>
      </c>
      <c r="F161" s="8">
        <v>1</v>
      </c>
      <c r="G161" s="8">
        <v>0.5</v>
      </c>
      <c r="H161" s="8">
        <v>0</v>
      </c>
      <c r="I161" s="8">
        <v>1</v>
      </c>
    </row>
    <row r="162" spans="2:9" x14ac:dyDescent="0.15">
      <c r="B162" s="8" t="s">
        <v>955</v>
      </c>
      <c r="C162" s="418">
        <v>1.3</v>
      </c>
      <c r="D162" s="8">
        <v>5000</v>
      </c>
      <c r="E162" s="8">
        <f t="shared" si="37"/>
        <v>0.9</v>
      </c>
      <c r="F162" s="8">
        <v>1</v>
      </c>
      <c r="G162" s="8">
        <v>0</v>
      </c>
      <c r="H162" s="8">
        <v>0</v>
      </c>
      <c r="I162" s="8">
        <v>1</v>
      </c>
    </row>
    <row r="163" spans="2:9" x14ac:dyDescent="0.15">
      <c r="B163" s="8" t="s">
        <v>956</v>
      </c>
      <c r="C163" s="418">
        <v>0.5</v>
      </c>
      <c r="D163" s="8">
        <v>1000</v>
      </c>
      <c r="E163" s="8">
        <f t="shared" si="37"/>
        <v>0.9</v>
      </c>
      <c r="F163" s="8">
        <v>2</v>
      </c>
      <c r="G163" s="8">
        <v>0.16666600000000001</v>
      </c>
      <c r="H163" s="8">
        <v>0</v>
      </c>
      <c r="I163" s="8">
        <v>1</v>
      </c>
    </row>
    <row r="164" spans="2:9" x14ac:dyDescent="0.15">
      <c r="B164" s="8" t="s">
        <v>957</v>
      </c>
      <c r="C164" s="418">
        <v>20.299800000000001</v>
      </c>
      <c r="D164" s="8">
        <v>500</v>
      </c>
      <c r="E164" s="8">
        <f t="shared" si="37"/>
        <v>0.9</v>
      </c>
      <c r="F164" s="8">
        <v>1</v>
      </c>
      <c r="G164" s="8">
        <v>0</v>
      </c>
      <c r="H164" s="8">
        <v>0</v>
      </c>
      <c r="I164" s="8">
        <v>1</v>
      </c>
    </row>
    <row r="165" spans="2:9" x14ac:dyDescent="0.15">
      <c r="B165" s="8" t="s">
        <v>958</v>
      </c>
      <c r="C165" s="418">
        <v>0.10639999999999999</v>
      </c>
      <c r="D165" s="8">
        <v>10000</v>
      </c>
      <c r="E165" s="8">
        <f t="shared" si="37"/>
        <v>0.9</v>
      </c>
      <c r="F165" s="8">
        <v>1</v>
      </c>
      <c r="G165" s="8">
        <v>1</v>
      </c>
      <c r="H165" s="8">
        <v>0</v>
      </c>
      <c r="I165" s="8">
        <v>1</v>
      </c>
    </row>
    <row r="166" spans="2:9" x14ac:dyDescent="0.15">
      <c r="B166" s="8" t="s">
        <v>959</v>
      </c>
      <c r="C166" s="418">
        <v>0.36854999999999999</v>
      </c>
      <c r="D166" s="8">
        <v>25000</v>
      </c>
      <c r="E166" s="8">
        <f t="shared" si="37"/>
        <v>0.9</v>
      </c>
      <c r="F166" s="8">
        <v>1</v>
      </c>
      <c r="G166" s="8">
        <v>0</v>
      </c>
      <c r="H166" s="8">
        <v>0</v>
      </c>
      <c r="I166" s="8">
        <v>1</v>
      </c>
    </row>
    <row r="167" spans="2:9" x14ac:dyDescent="0.15">
      <c r="B167" s="8" t="s">
        <v>960</v>
      </c>
      <c r="C167" s="418">
        <v>3.95</v>
      </c>
      <c r="D167" s="8">
        <v>2000</v>
      </c>
      <c r="E167" s="8">
        <f t="shared" si="37"/>
        <v>0.9</v>
      </c>
      <c r="F167" s="8">
        <v>0</v>
      </c>
      <c r="G167" s="8">
        <v>1</v>
      </c>
      <c r="H167" s="8">
        <v>0</v>
      </c>
      <c r="I167" s="8">
        <v>1</v>
      </c>
    </row>
    <row r="168" spans="2:9" x14ac:dyDescent="0.15">
      <c r="B168" s="8" t="s">
        <v>961</v>
      </c>
      <c r="C168" s="418">
        <v>2.95</v>
      </c>
      <c r="D168" s="8">
        <v>1000</v>
      </c>
      <c r="E168" s="8">
        <f t="shared" si="37"/>
        <v>0.9</v>
      </c>
      <c r="F168" s="8">
        <v>0</v>
      </c>
      <c r="G168" s="8">
        <v>1</v>
      </c>
      <c r="H168" s="8">
        <v>0</v>
      </c>
      <c r="I168" s="8">
        <v>1</v>
      </c>
    </row>
    <row r="169" spans="2:9" x14ac:dyDescent="0.15">
      <c r="B169" s="8" t="s">
        <v>962</v>
      </c>
      <c r="C169" s="418">
        <v>0.52466999999999997</v>
      </c>
      <c r="D169" s="8">
        <v>12500</v>
      </c>
      <c r="E169" s="8">
        <f t="shared" si="37"/>
        <v>0.9</v>
      </c>
      <c r="F169" s="8">
        <v>4</v>
      </c>
      <c r="G169" s="8">
        <v>0</v>
      </c>
      <c r="H169" s="8">
        <v>0</v>
      </c>
      <c r="I169" s="8">
        <v>1</v>
      </c>
    </row>
    <row r="170" spans="2:9" x14ac:dyDescent="0.15">
      <c r="B170" s="8" t="s">
        <v>963</v>
      </c>
      <c r="C170" s="418">
        <v>0.63700000000000001</v>
      </c>
      <c r="D170" s="8">
        <v>12000</v>
      </c>
      <c r="E170" s="8">
        <f t="shared" si="37"/>
        <v>0.9</v>
      </c>
      <c r="F170" s="8">
        <v>3</v>
      </c>
      <c r="G170" s="8">
        <v>0</v>
      </c>
      <c r="H170" s="8">
        <v>0</v>
      </c>
      <c r="I170" s="8">
        <v>1</v>
      </c>
    </row>
    <row r="171" spans="2:9" x14ac:dyDescent="0.15">
      <c r="B171" s="8" t="s">
        <v>1030</v>
      </c>
      <c r="C171" s="418">
        <v>0.78008</v>
      </c>
      <c r="D171" s="8">
        <v>5000</v>
      </c>
      <c r="E171" s="8">
        <f t="shared" si="37"/>
        <v>0.9</v>
      </c>
      <c r="F171" s="8">
        <v>0</v>
      </c>
      <c r="G171" s="8">
        <v>1</v>
      </c>
      <c r="H171" s="8">
        <v>0</v>
      </c>
      <c r="I171" s="8">
        <v>1</v>
      </c>
    </row>
    <row r="172" spans="2:9" x14ac:dyDescent="0.15">
      <c r="B172" s="8" t="s">
        <v>965</v>
      </c>
      <c r="C172" s="418">
        <v>1.887</v>
      </c>
      <c r="D172" s="8">
        <v>500</v>
      </c>
      <c r="E172" s="8">
        <f t="shared" si="37"/>
        <v>0.9</v>
      </c>
      <c r="F172" s="8">
        <v>1</v>
      </c>
      <c r="G172" s="8">
        <v>0</v>
      </c>
      <c r="H172" s="8">
        <v>0</v>
      </c>
      <c r="I172" s="8">
        <v>1</v>
      </c>
    </row>
    <row r="173" spans="2:9" x14ac:dyDescent="0.15">
      <c r="B173" s="8" t="s">
        <v>1031</v>
      </c>
      <c r="C173" s="418">
        <v>1.0900000000000001</v>
      </c>
      <c r="D173" s="8">
        <v>1000</v>
      </c>
      <c r="E173" s="8">
        <f t="shared" si="37"/>
        <v>0.9</v>
      </c>
      <c r="F173" s="8">
        <v>0</v>
      </c>
      <c r="G173" s="8">
        <v>1</v>
      </c>
      <c r="H173" s="8">
        <v>-2</v>
      </c>
      <c r="I173" s="8">
        <v>1</v>
      </c>
    </row>
    <row r="174" spans="2:9" x14ac:dyDescent="0.15">
      <c r="B174" s="8" t="s">
        <v>967</v>
      </c>
      <c r="C174" s="418">
        <v>1.581</v>
      </c>
      <c r="D174" s="8">
        <v>3000</v>
      </c>
      <c r="E174" s="8">
        <f t="shared" si="37"/>
        <v>0.9</v>
      </c>
      <c r="F174" s="8">
        <v>0</v>
      </c>
      <c r="G174" s="8">
        <v>0.5</v>
      </c>
      <c r="H174" s="8">
        <v>0</v>
      </c>
      <c r="I174" s="8">
        <v>1</v>
      </c>
    </row>
    <row r="175" spans="2:9" x14ac:dyDescent="0.15">
      <c r="B175" s="8" t="s">
        <v>968</v>
      </c>
      <c r="C175" s="418">
        <v>7.9829999999999998E-2</v>
      </c>
      <c r="D175" s="227">
        <v>125000</v>
      </c>
      <c r="E175" s="8">
        <f t="shared" si="37"/>
        <v>0.9</v>
      </c>
      <c r="F175" s="8">
        <v>0</v>
      </c>
      <c r="G175" s="8">
        <v>0.33329999999999999</v>
      </c>
      <c r="H175" s="8">
        <v>0</v>
      </c>
      <c r="I175" s="8">
        <v>1</v>
      </c>
    </row>
    <row r="176" spans="2:9" x14ac:dyDescent="0.15">
      <c r="B176" s="8" t="s">
        <v>1032</v>
      </c>
      <c r="C176" s="418">
        <v>0.70223999999999998</v>
      </c>
      <c r="D176" s="8">
        <v>5000</v>
      </c>
      <c r="E176" s="8">
        <f t="shared" si="37"/>
        <v>0.9</v>
      </c>
      <c r="F176" s="8">
        <v>1</v>
      </c>
      <c r="G176" s="8">
        <v>0</v>
      </c>
      <c r="H176" s="8">
        <v>0</v>
      </c>
      <c r="I176" s="8">
        <v>1</v>
      </c>
    </row>
    <row r="177" spans="2:11" x14ac:dyDescent="0.15">
      <c r="B177" s="8" t="s">
        <v>970</v>
      </c>
      <c r="C177" s="418">
        <v>4.3889999999999998E-2</v>
      </c>
      <c r="D177" s="8">
        <v>75000</v>
      </c>
      <c r="E177" s="8">
        <f t="shared" si="37"/>
        <v>0.9</v>
      </c>
      <c r="F177" s="8">
        <v>26</v>
      </c>
      <c r="G177" s="8">
        <v>26</v>
      </c>
      <c r="H177" s="8">
        <v>0</v>
      </c>
      <c r="I177" s="8">
        <v>1</v>
      </c>
    </row>
    <row r="178" spans="2:11" x14ac:dyDescent="0.15">
      <c r="B178" s="8" t="s">
        <v>971</v>
      </c>
      <c r="C178" s="418">
        <v>1.18E-2</v>
      </c>
      <c r="D178" s="8">
        <v>50000</v>
      </c>
      <c r="E178" s="8">
        <f t="shared" si="37"/>
        <v>0.9</v>
      </c>
      <c r="F178" s="8">
        <v>51</v>
      </c>
      <c r="G178" s="8">
        <v>45</v>
      </c>
      <c r="H178" s="8">
        <v>0</v>
      </c>
      <c r="I178" s="8">
        <v>1</v>
      </c>
    </row>
    <row r="179" spans="2:11" x14ac:dyDescent="0.15">
      <c r="B179" s="8" t="s">
        <v>972</v>
      </c>
      <c r="C179" s="418">
        <v>1.18E-2</v>
      </c>
      <c r="D179" s="8">
        <v>50000</v>
      </c>
      <c r="E179" s="8">
        <f t="shared" si="37"/>
        <v>0.9</v>
      </c>
      <c r="F179" s="8">
        <v>51</v>
      </c>
      <c r="G179" s="8">
        <v>45</v>
      </c>
      <c r="H179" s="8">
        <v>0</v>
      </c>
      <c r="I179" s="8">
        <v>1</v>
      </c>
    </row>
    <row r="180" spans="2:11" x14ac:dyDescent="0.15">
      <c r="B180" s="8" t="s">
        <v>973</v>
      </c>
      <c r="C180" s="418">
        <v>0.31900000000000001</v>
      </c>
      <c r="D180" s="8">
        <v>1000</v>
      </c>
      <c r="E180" s="8">
        <f t="shared" si="37"/>
        <v>0.9</v>
      </c>
      <c r="F180" s="8">
        <v>8</v>
      </c>
      <c r="G180" s="8">
        <v>20</v>
      </c>
      <c r="H180" s="8">
        <v>0</v>
      </c>
      <c r="I180" s="8">
        <v>1</v>
      </c>
    </row>
    <row r="181" spans="2:11" x14ac:dyDescent="0.15">
      <c r="B181" s="8" t="s">
        <v>974</v>
      </c>
      <c r="C181" s="418">
        <v>3.7379999999999997E-2</v>
      </c>
      <c r="D181" s="8">
        <v>100000</v>
      </c>
      <c r="E181" s="8">
        <f t="shared" si="37"/>
        <v>0.9</v>
      </c>
      <c r="F181" s="8">
        <v>2</v>
      </c>
      <c r="G181" s="8">
        <v>1</v>
      </c>
      <c r="H181" s="8">
        <v>0</v>
      </c>
      <c r="I181" s="8">
        <v>1</v>
      </c>
    </row>
    <row r="182" spans="2:11" x14ac:dyDescent="0.15">
      <c r="B182" s="8" t="s">
        <v>975</v>
      </c>
      <c r="C182" s="418">
        <v>2.2499999999999998E-3</v>
      </c>
      <c r="D182" s="8">
        <v>15000</v>
      </c>
      <c r="E182" s="8">
        <f t="shared" si="37"/>
        <v>0.9</v>
      </c>
      <c r="F182" s="8">
        <v>26</v>
      </c>
      <c r="G182" s="8">
        <v>31</v>
      </c>
      <c r="H182" s="8">
        <v>0</v>
      </c>
      <c r="I182" s="8">
        <v>1</v>
      </c>
    </row>
    <row r="183" spans="2:11" x14ac:dyDescent="0.15">
      <c r="B183" s="8" t="s">
        <v>976</v>
      </c>
      <c r="C183" s="418">
        <v>9.75E-3</v>
      </c>
      <c r="D183" s="8">
        <v>4000</v>
      </c>
      <c r="E183" s="8">
        <f t="shared" si="37"/>
        <v>0.9</v>
      </c>
      <c r="F183" s="8">
        <v>25</v>
      </c>
      <c r="G183" s="8">
        <v>30</v>
      </c>
      <c r="H183" s="8">
        <v>0</v>
      </c>
      <c r="I183" s="8">
        <v>1</v>
      </c>
    </row>
    <row r="184" spans="2:11" x14ac:dyDescent="0.15">
      <c r="B184" s="8" t="s">
        <v>977</v>
      </c>
      <c r="C184" s="418">
        <v>4.1119999999999997E-2</v>
      </c>
      <c r="D184" s="8">
        <v>4000</v>
      </c>
      <c r="E184" s="8">
        <f t="shared" si="37"/>
        <v>0.9</v>
      </c>
      <c r="F184" s="8">
        <v>12</v>
      </c>
      <c r="G184" s="8">
        <v>2</v>
      </c>
      <c r="H184" s="8">
        <v>0</v>
      </c>
      <c r="I184" s="8">
        <v>1</v>
      </c>
    </row>
    <row r="185" spans="2:11" x14ac:dyDescent="0.15">
      <c r="B185" s="8" t="s">
        <v>978</v>
      </c>
      <c r="C185" s="418">
        <v>8.3739999999999995E-2</v>
      </c>
      <c r="D185" s="8">
        <v>30000</v>
      </c>
      <c r="E185" s="8">
        <f t="shared" si="37"/>
        <v>0.9</v>
      </c>
      <c r="F185" s="8">
        <v>14</v>
      </c>
      <c r="G185" s="8">
        <v>14</v>
      </c>
      <c r="H185" s="8">
        <v>0</v>
      </c>
      <c r="I185" s="8">
        <v>1</v>
      </c>
    </row>
    <row r="186" spans="2:11" x14ac:dyDescent="0.15">
      <c r="B186" s="8" t="s">
        <v>979</v>
      </c>
      <c r="C186" s="418">
        <v>3.8400000000000001E-3</v>
      </c>
      <c r="D186" s="8">
        <v>125000</v>
      </c>
      <c r="E186" s="8">
        <f t="shared" si="37"/>
        <v>0.9</v>
      </c>
      <c r="F186" s="8">
        <v>2</v>
      </c>
      <c r="G186" s="8">
        <v>0</v>
      </c>
      <c r="H186" s="8">
        <v>0</v>
      </c>
      <c r="I186" s="8">
        <v>1</v>
      </c>
    </row>
    <row r="187" spans="2:11" x14ac:dyDescent="0.15">
      <c r="B187" s="8" t="s">
        <v>980</v>
      </c>
      <c r="C187" s="418">
        <v>10</v>
      </c>
      <c r="D187" s="8">
        <v>1</v>
      </c>
      <c r="E187" s="8">
        <v>1</v>
      </c>
      <c r="F187" s="8">
        <v>1</v>
      </c>
      <c r="G187" s="8">
        <v>0</v>
      </c>
      <c r="H187" s="8">
        <v>0</v>
      </c>
      <c r="I187" s="8">
        <v>1</v>
      </c>
    </row>
    <row r="188" spans="2:11" x14ac:dyDescent="0.15">
      <c r="B188" s="8" t="s">
        <v>981</v>
      </c>
      <c r="C188" s="418">
        <v>3</v>
      </c>
      <c r="D188" s="8">
        <v>1</v>
      </c>
      <c r="E188" s="8">
        <v>1</v>
      </c>
      <c r="F188" s="8">
        <v>1</v>
      </c>
      <c r="G188" s="8">
        <v>0</v>
      </c>
      <c r="H188" s="8">
        <v>0</v>
      </c>
      <c r="I188" s="8">
        <v>1</v>
      </c>
    </row>
    <row r="189" spans="2:11" x14ac:dyDescent="0.15">
      <c r="C189" s="8"/>
    </row>
    <row r="190" spans="2:11" ht="16" x14ac:dyDescent="0.2">
      <c r="C190" s="8"/>
      <c r="D190" s="1214" t="s">
        <v>1020</v>
      </c>
      <c r="E190" s="5"/>
      <c r="F190" s="1214" t="s">
        <v>1021</v>
      </c>
      <c r="G190" s="5"/>
      <c r="H190" s="1214" t="s">
        <v>1022</v>
      </c>
      <c r="I190" s="1214" t="s">
        <v>1023</v>
      </c>
    </row>
    <row r="191" spans="2:11" ht="15" x14ac:dyDescent="0.2">
      <c r="B191" s="559" t="s">
        <v>998</v>
      </c>
      <c r="C191" s="25" t="s">
        <v>1024</v>
      </c>
      <c r="D191" s="1217" t="s">
        <v>1025</v>
      </c>
      <c r="E191" s="421" t="s">
        <v>1026</v>
      </c>
      <c r="F191" s="1217" t="s">
        <v>676</v>
      </c>
      <c r="G191" s="25" t="s">
        <v>1027</v>
      </c>
      <c r="H191" s="1217" t="s">
        <v>1028</v>
      </c>
      <c r="I191" s="1217" t="s">
        <v>1029</v>
      </c>
      <c r="J191" s="25" t="s">
        <v>1033</v>
      </c>
      <c r="K191" s="25" t="s">
        <v>1034</v>
      </c>
    </row>
    <row r="192" spans="2:11" x14ac:dyDescent="0.15">
      <c r="B192" s="8" t="s">
        <v>983</v>
      </c>
      <c r="C192" s="8">
        <v>77</v>
      </c>
      <c r="D192" s="8">
        <v>200000</v>
      </c>
      <c r="E192" s="8">
        <v>0.95</v>
      </c>
      <c r="F192" s="8">
        <v>2</v>
      </c>
      <c r="G192" s="8">
        <v>0</v>
      </c>
      <c r="H192" s="8">
        <v>0</v>
      </c>
      <c r="I192" s="8">
        <v>1</v>
      </c>
      <c r="J192" s="8">
        <v>0.31929999999999997</v>
      </c>
      <c r="K192" s="8">
        <v>750</v>
      </c>
    </row>
    <row r="193" spans="2:11" x14ac:dyDescent="0.15">
      <c r="B193" s="8" t="s">
        <v>1035</v>
      </c>
      <c r="C193" s="8">
        <v>10</v>
      </c>
      <c r="D193" s="8">
        <v>100</v>
      </c>
      <c r="E193" s="8">
        <v>1</v>
      </c>
      <c r="F193" s="8">
        <v>2</v>
      </c>
      <c r="G193" s="8">
        <v>0</v>
      </c>
      <c r="H193" s="8">
        <v>0</v>
      </c>
      <c r="I193" s="8">
        <f>IF('Vehicle Considerations'!$B$27, 1, 0)</f>
        <v>1</v>
      </c>
      <c r="J193" s="8">
        <v>0</v>
      </c>
      <c r="K193" s="8">
        <v>180</v>
      </c>
    </row>
    <row r="194" spans="2:11" x14ac:dyDescent="0.15">
      <c r="B194" s="8" t="s">
        <v>985</v>
      </c>
      <c r="C194" s="8">
        <v>10</v>
      </c>
      <c r="D194" s="8">
        <v>10000</v>
      </c>
      <c r="E194" s="8">
        <f t="shared" ref="E194:E199" si="38">$C$156</f>
        <v>0.9</v>
      </c>
      <c r="F194" s="8">
        <v>1</v>
      </c>
      <c r="G194" s="8">
        <v>0</v>
      </c>
      <c r="H194" s="8">
        <v>0</v>
      </c>
      <c r="I194" s="8">
        <v>1</v>
      </c>
      <c r="J194" s="8">
        <v>0.125</v>
      </c>
      <c r="K194" s="8">
        <v>90</v>
      </c>
    </row>
    <row r="195" spans="2:11" x14ac:dyDescent="0.15">
      <c r="B195" s="8" t="s">
        <v>986</v>
      </c>
      <c r="C195" s="8">
        <v>4.4400000000000004</v>
      </c>
      <c r="D195" s="8">
        <v>1000</v>
      </c>
      <c r="E195" s="8">
        <f t="shared" si="38"/>
        <v>0.9</v>
      </c>
      <c r="F195" s="8">
        <v>1</v>
      </c>
      <c r="G195" s="8">
        <v>0</v>
      </c>
      <c r="H195" s="8">
        <v>0</v>
      </c>
      <c r="I195" s="8">
        <v>1</v>
      </c>
      <c r="J195" s="8">
        <v>0.08</v>
      </c>
      <c r="K195" s="8">
        <v>185</v>
      </c>
    </row>
    <row r="196" spans="2:11" x14ac:dyDescent="0.15">
      <c r="B196" s="8" t="s">
        <v>987</v>
      </c>
      <c r="C196" s="8">
        <v>1</v>
      </c>
      <c r="D196" s="8">
        <v>10000</v>
      </c>
      <c r="E196" s="8">
        <f t="shared" si="38"/>
        <v>0.9</v>
      </c>
      <c r="F196" s="8">
        <v>1</v>
      </c>
      <c r="G196" s="8">
        <v>0</v>
      </c>
      <c r="H196" s="8">
        <v>0</v>
      </c>
      <c r="I196" s="8">
        <v>1</v>
      </c>
      <c r="J196" s="8">
        <v>0.57599999999999996</v>
      </c>
      <c r="K196" s="8">
        <v>150</v>
      </c>
    </row>
    <row r="197" spans="2:11" x14ac:dyDescent="0.15">
      <c r="B197" s="8" t="s">
        <v>988</v>
      </c>
      <c r="C197" s="8">
        <v>10</v>
      </c>
      <c r="D197" s="8">
        <v>10000</v>
      </c>
      <c r="E197" s="8">
        <f t="shared" si="38"/>
        <v>0.9</v>
      </c>
      <c r="F197" s="8">
        <v>1</v>
      </c>
      <c r="G197" s="8">
        <v>0</v>
      </c>
      <c r="H197" s="8">
        <v>0</v>
      </c>
      <c r="I197" s="8">
        <v>1</v>
      </c>
      <c r="J197" s="8">
        <v>8.8400000000000006E-2</v>
      </c>
      <c r="K197" s="8">
        <v>80</v>
      </c>
    </row>
    <row r="198" spans="2:11" x14ac:dyDescent="0.15">
      <c r="B198" s="8" t="s">
        <v>989</v>
      </c>
      <c r="C198" s="8">
        <v>3</v>
      </c>
      <c r="D198" s="8">
        <v>10000</v>
      </c>
      <c r="E198" s="8">
        <f t="shared" si="38"/>
        <v>0.9</v>
      </c>
      <c r="F198" s="8">
        <v>1</v>
      </c>
      <c r="G198" s="8">
        <v>0</v>
      </c>
      <c r="H198" s="8">
        <v>0</v>
      </c>
      <c r="I198" s="8">
        <f>IF('Vehicle Considerations'!$B$26, 1, 0)</f>
        <v>1</v>
      </c>
      <c r="J198" s="8">
        <v>4.0000000000000001E-3</v>
      </c>
      <c r="K198" s="8">
        <v>24</v>
      </c>
    </row>
    <row r="199" spans="2:11" x14ac:dyDescent="0.15">
      <c r="B199" s="8" t="s">
        <v>990</v>
      </c>
      <c r="C199" s="8">
        <v>60.33</v>
      </c>
      <c r="D199" s="8">
        <v>50</v>
      </c>
      <c r="E199" s="8">
        <f t="shared" si="38"/>
        <v>0.9</v>
      </c>
      <c r="F199" s="8">
        <v>1</v>
      </c>
      <c r="G199" s="8">
        <v>0</v>
      </c>
      <c r="H199" s="8">
        <v>0</v>
      </c>
      <c r="I199" s="8">
        <v>1</v>
      </c>
      <c r="J199" s="8">
        <v>3.6499999999999998E-2</v>
      </c>
      <c r="K199" s="8">
        <v>55</v>
      </c>
    </row>
    <row r="200" spans="2:11" x14ac:dyDescent="0.15">
      <c r="C200" s="8"/>
    </row>
    <row r="201" spans="2:11" ht="16" x14ac:dyDescent="0.2">
      <c r="C201" s="8"/>
      <c r="D201" s="1214"/>
      <c r="E201" s="5"/>
      <c r="G201" s="5"/>
      <c r="H201" s="1214"/>
      <c r="I201" s="1214"/>
    </row>
    <row r="202" spans="2:11" ht="14" x14ac:dyDescent="0.15">
      <c r="B202" s="559" t="s">
        <v>1000</v>
      </c>
      <c r="C202" s="25" t="s">
        <v>1024</v>
      </c>
      <c r="D202" s="1217" t="s">
        <v>1036</v>
      </c>
      <c r="E202"/>
      <c r="F202"/>
      <c r="G202"/>
      <c r="H202"/>
      <c r="I202"/>
      <c r="J202"/>
    </row>
    <row r="203" spans="2:11" x14ac:dyDescent="0.15">
      <c r="B203" s="8" t="s">
        <v>1037</v>
      </c>
      <c r="C203" s="11">
        <v>20</v>
      </c>
      <c r="D203" s="11">
        <v>50</v>
      </c>
      <c r="E203"/>
      <c r="F203"/>
      <c r="G203"/>
      <c r="H203"/>
      <c r="I203"/>
      <c r="J203"/>
    </row>
    <row r="204" spans="2:11" x14ac:dyDescent="0.15">
      <c r="B204" s="8" t="s">
        <v>1038</v>
      </c>
      <c r="C204" s="46">
        <v>60</v>
      </c>
      <c r="D204" s="46">
        <v>500</v>
      </c>
      <c r="E204"/>
      <c r="F204"/>
      <c r="G204"/>
      <c r="H204"/>
      <c r="I204"/>
      <c r="J204"/>
    </row>
    <row r="205" spans="2:11" x14ac:dyDescent="0.15">
      <c r="C205" s="422"/>
      <c r="D205" s="422"/>
      <c r="E205"/>
      <c r="F205"/>
      <c r="G205"/>
      <c r="H205"/>
      <c r="I205"/>
      <c r="J205"/>
    </row>
    <row r="206" spans="2:11" x14ac:dyDescent="0.15">
      <c r="C206" s="8"/>
    </row>
    <row r="207" spans="2:11" ht="16" x14ac:dyDescent="0.2">
      <c r="C207" s="8"/>
      <c r="D207" s="1214" t="s">
        <v>1020</v>
      </c>
      <c r="E207" s="5"/>
      <c r="F207" s="1214"/>
      <c r="G207" s="5"/>
      <c r="H207" s="1214"/>
      <c r="I207" s="1214"/>
    </row>
    <row r="208" spans="2:11" ht="14" x14ac:dyDescent="0.15">
      <c r="B208" s="559" t="s">
        <v>1001</v>
      </c>
      <c r="C208" s="25" t="s">
        <v>1024</v>
      </c>
      <c r="D208" s="1217" t="s">
        <v>1025</v>
      </c>
      <c r="E208" s="814" t="s">
        <v>1026</v>
      </c>
      <c r="F208" s="1214"/>
      <c r="G208" s="26"/>
      <c r="H208" s="1214"/>
      <c r="I208" s="1214"/>
    </row>
    <row r="209" spans="2:18" x14ac:dyDescent="0.15">
      <c r="B209" s="8" t="s">
        <v>994</v>
      </c>
      <c r="C209" s="8">
        <v>0.33072000000000001</v>
      </c>
      <c r="D209" s="8">
        <v>10500</v>
      </c>
      <c r="E209" s="8">
        <f>$C$156</f>
        <v>0.9</v>
      </c>
    </row>
    <row r="210" spans="2:18" x14ac:dyDescent="0.15">
      <c r="B210" s="8" t="s">
        <v>1039</v>
      </c>
      <c r="C210" s="8">
        <v>0.2261</v>
      </c>
      <c r="D210" s="8">
        <v>1000</v>
      </c>
      <c r="E210" s="8">
        <v>0.95</v>
      </c>
    </row>
    <row r="211" spans="2:18" x14ac:dyDescent="0.15">
      <c r="B211" s="8" t="s">
        <v>996</v>
      </c>
      <c r="C211" s="8">
        <v>0.5</v>
      </c>
      <c r="D211" s="8">
        <v>1</v>
      </c>
      <c r="E211" s="8">
        <v>1</v>
      </c>
    </row>
    <row r="212" spans="2:18" ht="14" x14ac:dyDescent="0.15">
      <c r="B212" s="73"/>
      <c r="C212" s="8"/>
      <c r="K212" s="464"/>
      <c r="L212" s="561"/>
      <c r="M212" s="561"/>
      <c r="N212" s="561"/>
      <c r="O212" s="561"/>
      <c r="P212" s="561"/>
      <c r="Q212" s="561"/>
      <c r="R212" s="561"/>
    </row>
    <row r="213" spans="2:18" ht="16" x14ac:dyDescent="0.2">
      <c r="B213" s="73"/>
      <c r="C213" s="8"/>
      <c r="D213" s="1214" t="s">
        <v>1020</v>
      </c>
      <c r="E213" s="5"/>
      <c r="F213" s="1214" t="s">
        <v>1021</v>
      </c>
      <c r="G213" s="5"/>
      <c r="H213" s="1214"/>
      <c r="I213" s="1214"/>
      <c r="K213" s="464"/>
      <c r="L213" s="561"/>
      <c r="M213" s="561"/>
      <c r="N213" s="561"/>
      <c r="O213" s="561"/>
      <c r="P213" s="561"/>
      <c r="Q213" s="561"/>
      <c r="R213" s="561"/>
    </row>
    <row r="214" spans="2:18" ht="14" x14ac:dyDescent="0.15">
      <c r="B214" s="559" t="s">
        <v>1040</v>
      </c>
      <c r="C214" s="25" t="s">
        <v>1024</v>
      </c>
      <c r="D214" s="1217" t="s">
        <v>1025</v>
      </c>
      <c r="E214" s="814" t="s">
        <v>1026</v>
      </c>
      <c r="F214" s="1217" t="s">
        <v>676</v>
      </c>
      <c r="G214" s="26"/>
      <c r="H214" s="1214"/>
      <c r="I214" s="1214"/>
      <c r="K214" s="465"/>
      <c r="L214" s="419"/>
      <c r="M214" s="419"/>
      <c r="N214" s="419"/>
      <c r="O214" s="419"/>
      <c r="P214" s="419"/>
      <c r="Q214" s="419"/>
      <c r="R214" s="419"/>
    </row>
    <row r="215" spans="2:18" x14ac:dyDescent="0.15">
      <c r="B215" s="8" t="s">
        <v>1041</v>
      </c>
      <c r="C215" s="8">
        <v>10</v>
      </c>
      <c r="D215" s="8">
        <v>200000</v>
      </c>
      <c r="E215" s="8">
        <v>0.95</v>
      </c>
      <c r="F215" s="8">
        <v>10</v>
      </c>
      <c r="K215" s="465"/>
      <c r="L215" s="419"/>
      <c r="M215" s="419"/>
      <c r="N215" s="419"/>
      <c r="O215" s="419"/>
      <c r="P215" s="419"/>
      <c r="Q215" s="419"/>
      <c r="R215" s="419"/>
    </row>
    <row r="216" spans="2:18" x14ac:dyDescent="0.15">
      <c r="B216" s="8" t="s">
        <v>1042</v>
      </c>
      <c r="C216" s="8">
        <v>52.86</v>
      </c>
      <c r="D216" s="8">
        <v>200000</v>
      </c>
      <c r="E216" s="8">
        <v>0.95</v>
      </c>
      <c r="F216" s="8">
        <v>600</v>
      </c>
      <c r="K216" s="465"/>
      <c r="L216" s="419"/>
      <c r="M216" s="419"/>
      <c r="N216" s="419"/>
      <c r="O216" s="419"/>
      <c r="P216" s="419"/>
      <c r="Q216" s="419"/>
      <c r="R216" s="419"/>
    </row>
    <row r="217" spans="2:18" x14ac:dyDescent="0.15">
      <c r="C217" s="8"/>
    </row>
    <row r="218" spans="2:18" ht="15" x14ac:dyDescent="0.2">
      <c r="B218" s="423"/>
      <c r="C218" s="8"/>
      <c r="G218" s="11"/>
      <c r="H218" s="11"/>
      <c r="I218" s="11"/>
    </row>
    <row r="219" spans="2:18" x14ac:dyDescent="0.15">
      <c r="B219" s="1214"/>
      <c r="C219" s="8"/>
    </row>
    <row r="221" spans="2:18" x14ac:dyDescent="0.15">
      <c r="C221" s="817"/>
      <c r="D221" s="817"/>
      <c r="E221" s="817"/>
      <c r="F221" s="817"/>
      <c r="G221" s="817"/>
      <c r="H221" s="817"/>
      <c r="I221" s="817"/>
      <c r="J221" s="562"/>
    </row>
    <row r="222" spans="2:18" x14ac:dyDescent="0.15">
      <c r="C222" s="133"/>
      <c r="D222" s="133"/>
      <c r="E222" s="344"/>
      <c r="F222" s="818"/>
      <c r="G222" s="380"/>
      <c r="I222" s="78"/>
    </row>
    <row r="223" spans="2:18" x14ac:dyDescent="0.15">
      <c r="C223" s="133"/>
      <c r="D223" s="133"/>
      <c r="E223" s="344"/>
      <c r="F223" s="818"/>
      <c r="G223" s="380"/>
      <c r="H223" s="330"/>
      <c r="I223" s="78"/>
    </row>
    <row r="224" spans="2:18" x14ac:dyDescent="0.15">
      <c r="C224" s="133"/>
      <c r="D224" s="133"/>
      <c r="E224" s="133"/>
      <c r="F224" s="818"/>
      <c r="G224" s="380"/>
      <c r="I224" s="78"/>
    </row>
    <row r="225" spans="2:10" x14ac:dyDescent="0.15">
      <c r="C225" s="133"/>
      <c r="D225" s="133"/>
      <c r="E225" s="133"/>
      <c r="F225" s="818"/>
      <c r="G225" s="380"/>
      <c r="I225" s="78"/>
    </row>
    <row r="226" spans="2:10" x14ac:dyDescent="0.15">
      <c r="C226" s="133"/>
      <c r="D226" s="133"/>
      <c r="E226" s="133"/>
      <c r="F226" s="818"/>
      <c r="G226" s="380"/>
      <c r="I226" s="78"/>
    </row>
    <row r="227" spans="2:10" x14ac:dyDescent="0.15">
      <c r="C227" s="133"/>
      <c r="D227" s="133"/>
      <c r="E227" s="133"/>
      <c r="F227" s="818"/>
      <c r="G227" s="380"/>
      <c r="I227" s="78"/>
    </row>
    <row r="228" spans="2:10" x14ac:dyDescent="0.15">
      <c r="C228" s="133"/>
      <c r="D228" s="133"/>
      <c r="E228" s="133"/>
      <c r="F228" s="818"/>
      <c r="G228" s="380"/>
      <c r="I228" s="78"/>
    </row>
    <row r="229" spans="2:10" x14ac:dyDescent="0.15">
      <c r="C229" s="133"/>
      <c r="D229" s="133"/>
      <c r="E229" s="133"/>
      <c r="F229" s="818"/>
      <c r="G229" s="380"/>
      <c r="I229" s="78"/>
    </row>
    <row r="230" spans="2:10" x14ac:dyDescent="0.15">
      <c r="C230" s="133"/>
      <c r="D230" s="133"/>
      <c r="E230" s="133"/>
      <c r="F230" s="818"/>
      <c r="G230" s="380"/>
      <c r="H230" s="133"/>
      <c r="I230" s="78"/>
    </row>
    <row r="231" spans="2:10" x14ac:dyDescent="0.15">
      <c r="C231" s="133"/>
      <c r="D231" s="133"/>
      <c r="E231" s="133"/>
      <c r="F231" s="818"/>
      <c r="G231" s="380"/>
      <c r="H231" s="133"/>
      <c r="I231" s="78"/>
    </row>
    <row r="232" spans="2:10" x14ac:dyDescent="0.15">
      <c r="C232" s="133"/>
      <c r="D232" s="133"/>
      <c r="E232" s="133"/>
      <c r="F232" s="818"/>
      <c r="G232" s="380"/>
    </row>
    <row r="233" spans="2:10" x14ac:dyDescent="0.15">
      <c r="C233" s="133"/>
      <c r="D233" s="133"/>
      <c r="E233" s="133"/>
      <c r="F233" s="818"/>
      <c r="G233" s="380"/>
    </row>
    <row r="234" spans="2:10" ht="16" x14ac:dyDescent="0.2">
      <c r="B234" s="5"/>
      <c r="C234" s="133"/>
      <c r="D234" s="133"/>
      <c r="E234" s="133"/>
      <c r="F234" s="818"/>
      <c r="G234" s="380"/>
    </row>
    <row r="235" spans="2:10" x14ac:dyDescent="0.15">
      <c r="C235" s="133"/>
      <c r="D235" s="133"/>
      <c r="E235" s="133"/>
      <c r="F235" s="818"/>
      <c r="G235" s="380"/>
    </row>
    <row r="236" spans="2:10" x14ac:dyDescent="0.15">
      <c r="C236" s="133"/>
      <c r="D236" s="133"/>
      <c r="E236" s="133"/>
      <c r="F236" s="818"/>
      <c r="G236" s="819"/>
      <c r="H236" s="817"/>
      <c r="I236" s="817"/>
      <c r="J236" s="562"/>
    </row>
    <row r="237" spans="2:10" x14ac:dyDescent="0.15">
      <c r="C237" s="133"/>
      <c r="D237" s="133"/>
      <c r="E237" s="133"/>
      <c r="F237" s="818"/>
      <c r="G237" s="345"/>
    </row>
    <row r="238" spans="2:10" x14ac:dyDescent="0.15">
      <c r="C238" s="133"/>
      <c r="D238" s="133"/>
      <c r="E238" s="133"/>
      <c r="F238" s="818"/>
      <c r="G238" s="345"/>
    </row>
    <row r="239" spans="2:10" x14ac:dyDescent="0.15">
      <c r="C239" s="133"/>
      <c r="D239" s="133"/>
      <c r="E239" s="133"/>
      <c r="F239" s="818"/>
      <c r="I239" s="227"/>
    </row>
    <row r="240" spans="2:10" x14ac:dyDescent="0.15">
      <c r="C240" s="133"/>
      <c r="D240" s="133"/>
      <c r="E240" s="133"/>
      <c r="F240" s="818"/>
      <c r="I240" s="227"/>
    </row>
    <row r="241" spans="2:9" x14ac:dyDescent="0.15">
      <c r="C241" s="133"/>
      <c r="D241" s="133"/>
      <c r="E241" s="133"/>
      <c r="F241" s="818"/>
      <c r="I241" s="227"/>
    </row>
    <row r="242" spans="2:9" x14ac:dyDescent="0.15">
      <c r="C242" s="133"/>
      <c r="D242" s="133"/>
      <c r="E242" s="133"/>
      <c r="F242" s="818"/>
      <c r="I242" s="227"/>
    </row>
    <row r="243" spans="2:9" x14ac:dyDescent="0.15">
      <c r="C243" s="133"/>
      <c r="D243" s="133"/>
      <c r="E243" s="133"/>
      <c r="F243" s="818"/>
      <c r="I243" s="227"/>
    </row>
    <row r="244" spans="2:9" x14ac:dyDescent="0.15">
      <c r="C244" s="133"/>
      <c r="D244" s="133"/>
      <c r="E244" s="133"/>
      <c r="F244" s="818"/>
      <c r="I244" s="227"/>
    </row>
    <row r="245" spans="2:9" x14ac:dyDescent="0.15">
      <c r="C245" s="133"/>
      <c r="D245" s="133"/>
      <c r="E245" s="133"/>
      <c r="F245" s="818"/>
      <c r="I245" s="227"/>
    </row>
    <row r="246" spans="2:9" x14ac:dyDescent="0.15">
      <c r="C246" s="133"/>
      <c r="D246" s="133"/>
      <c r="E246" s="133"/>
      <c r="F246" s="818"/>
      <c r="I246" s="227"/>
    </row>
    <row r="247" spans="2:9" x14ac:dyDescent="0.15">
      <c r="C247" s="133"/>
      <c r="D247" s="133"/>
      <c r="E247" s="133"/>
      <c r="F247" s="818"/>
      <c r="G247" s="380"/>
      <c r="I247" s="227"/>
    </row>
    <row r="248" spans="2:9" x14ac:dyDescent="0.15">
      <c r="C248" s="133"/>
      <c r="D248" s="133"/>
      <c r="E248" s="133"/>
      <c r="F248" s="818"/>
      <c r="G248" s="380"/>
    </row>
    <row r="249" spans="2:9" x14ac:dyDescent="0.15">
      <c r="C249" s="133"/>
      <c r="D249" s="133"/>
      <c r="E249" s="133"/>
      <c r="F249" s="818"/>
      <c r="G249" s="380"/>
    </row>
    <row r="250" spans="2:9" ht="16" x14ac:dyDescent="0.2">
      <c r="B250" s="5"/>
      <c r="C250" s="133"/>
      <c r="D250" s="133"/>
      <c r="E250" s="133"/>
      <c r="F250" s="818"/>
      <c r="G250" s="380"/>
    </row>
    <row r="251" spans="2:9" x14ac:dyDescent="0.15">
      <c r="E251" s="89"/>
      <c r="F251" s="227"/>
      <c r="G251" s="816"/>
    </row>
  </sheetData>
  <mergeCells count="10">
    <mergeCell ref="N1:O1"/>
    <mergeCell ref="B5:E5"/>
    <mergeCell ref="G5:M5"/>
    <mergeCell ref="B26:M26"/>
    <mergeCell ref="B153:M153"/>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Y723"/>
  <sheetViews>
    <sheetView workbookViewId="0">
      <pane ySplit="6" topLeftCell="A7" activePane="bottomLeft" state="frozen"/>
      <selection pane="bottomLeft" activeCell="C6" sqref="C6"/>
    </sheetView>
  </sheetViews>
  <sheetFormatPr baseColWidth="10" defaultColWidth="8.5" defaultRowHeight="13" x14ac:dyDescent="0.15"/>
  <cols>
    <col min="1" max="1" width="2.5" style="26" bestFit="1" customWidth="1"/>
    <col min="2" max="2" width="5" customWidth="1"/>
    <col min="3" max="3" width="45.5" customWidth="1"/>
    <col min="4" max="4" width="6.5" customWidth="1"/>
    <col min="5" max="5" width="11.5" customWidth="1"/>
    <col min="6" max="6" width="15" customWidth="1"/>
    <col min="7" max="8" width="17.5" customWidth="1"/>
    <col min="9" max="9" width="17.5" bestFit="1" customWidth="1"/>
    <col min="10" max="11" width="14.5" customWidth="1"/>
    <col min="12" max="12" width="14.5" bestFit="1" customWidth="1"/>
    <col min="13" max="13" width="14" customWidth="1"/>
    <col min="14" max="14" width="12.5" hidden="1" customWidth="1"/>
    <col min="15" max="15" width="20.5" customWidth="1"/>
    <col min="16" max="16" width="17.5" bestFit="1" customWidth="1"/>
    <col min="17" max="17" width="11.5" bestFit="1" customWidth="1"/>
    <col min="18" max="18" width="16.1640625" bestFit="1" customWidth="1"/>
    <col min="19" max="19" width="9.83203125" bestFit="1" customWidth="1"/>
    <col min="20" max="20" width="15.83203125" bestFit="1" customWidth="1"/>
    <col min="21" max="21" width="10.5" bestFit="1" customWidth="1"/>
    <col min="22" max="22" width="16.5" bestFit="1" customWidth="1"/>
    <col min="23" max="24" width="10.5" customWidth="1"/>
  </cols>
  <sheetData>
    <row r="1" spans="1:19" ht="19" thickBot="1" x14ac:dyDescent="0.25">
      <c r="B1" s="1331" t="s">
        <v>1043</v>
      </c>
      <c r="C1" s="1332"/>
      <c r="D1" s="1332"/>
      <c r="E1" s="1332"/>
      <c r="F1" s="1332"/>
      <c r="G1" s="1332"/>
      <c r="H1" s="1332"/>
      <c r="I1" s="1332"/>
      <c r="J1" s="1332"/>
      <c r="K1" s="1332"/>
      <c r="L1" s="1332"/>
      <c r="M1" s="1341"/>
      <c r="O1" s="1260" t="s">
        <v>9</v>
      </c>
      <c r="P1" s="1261"/>
    </row>
    <row r="2" spans="1:19" ht="17" thickBot="1" x14ac:dyDescent="0.25">
      <c r="B2" s="1270" t="str">
        <f>Dashboard!B2</f>
        <v>EV with NMC532-G (Power) Electrodes</v>
      </c>
      <c r="C2" s="1271"/>
      <c r="D2" s="1271"/>
      <c r="E2" s="1271"/>
      <c r="F2" s="1271"/>
      <c r="G2" s="1271"/>
      <c r="H2" s="1271"/>
      <c r="I2" s="1271"/>
      <c r="J2" s="1271"/>
      <c r="K2" s="1271"/>
      <c r="L2" s="1271"/>
      <c r="M2" s="1272"/>
      <c r="O2" s="987" t="s">
        <v>8</v>
      </c>
      <c r="P2" s="988" t="s">
        <v>10</v>
      </c>
    </row>
    <row r="3" spans="1:19" ht="16" x14ac:dyDescent="0.2">
      <c r="A3" s="1214"/>
      <c r="B3" s="1333" t="s">
        <v>132</v>
      </c>
      <c r="C3" s="1334"/>
      <c r="D3" s="1334"/>
      <c r="E3" s="1334"/>
      <c r="F3" s="1334"/>
      <c r="G3" s="1334"/>
      <c r="H3" s="1334"/>
      <c r="I3" s="1334"/>
      <c r="J3" s="1334"/>
      <c r="K3" s="1334"/>
      <c r="L3" s="1334"/>
      <c r="M3" s="1342"/>
      <c r="N3" s="519"/>
      <c r="O3" s="989" t="s">
        <v>15</v>
      </c>
      <c r="P3" s="988" t="s">
        <v>16</v>
      </c>
    </row>
    <row r="4" spans="1:19" ht="16" x14ac:dyDescent="0.2">
      <c r="A4" s="1214"/>
      <c r="B4" s="1293" t="s">
        <v>298</v>
      </c>
      <c r="C4" s="1320"/>
      <c r="D4" s="1320"/>
      <c r="E4" s="1321"/>
      <c r="F4" s="180"/>
      <c r="G4" s="1294" t="s">
        <v>12</v>
      </c>
      <c r="H4" s="1325"/>
      <c r="I4" s="1325"/>
      <c r="J4" s="1325"/>
      <c r="K4" s="1325"/>
      <c r="L4" s="1325"/>
      <c r="M4" s="1326"/>
      <c r="N4" s="519"/>
      <c r="O4" s="986" t="s">
        <v>17</v>
      </c>
      <c r="P4" s="988" t="s">
        <v>18</v>
      </c>
    </row>
    <row r="5" spans="1:19" ht="17" thickBot="1" x14ac:dyDescent="0.25">
      <c r="A5" s="1214"/>
      <c r="B5" s="1296" t="s">
        <v>13</v>
      </c>
      <c r="C5" s="1329"/>
      <c r="D5" s="1329"/>
      <c r="E5" s="1330"/>
      <c r="F5" s="185"/>
      <c r="G5" s="1297" t="s">
        <v>14</v>
      </c>
      <c r="H5" s="1327"/>
      <c r="I5" s="1327"/>
      <c r="J5" s="1327"/>
      <c r="K5" s="1327"/>
      <c r="L5" s="1327"/>
      <c r="M5" s="1328"/>
      <c r="N5" s="519"/>
      <c r="O5" s="986" t="s">
        <v>20</v>
      </c>
      <c r="P5" s="992" t="s">
        <v>21</v>
      </c>
    </row>
    <row r="6" spans="1:19" ht="17" thickBot="1" x14ac:dyDescent="0.25">
      <c r="G6" s="123" t="s">
        <v>56</v>
      </c>
      <c r="H6" s="123" t="s">
        <v>57</v>
      </c>
      <c r="I6" s="123" t="s">
        <v>58</v>
      </c>
      <c r="J6" s="123" t="s">
        <v>59</v>
      </c>
      <c r="K6" s="123" t="s">
        <v>60</v>
      </c>
      <c r="L6" s="123" t="s">
        <v>61</v>
      </c>
      <c r="M6" s="123" t="s">
        <v>62</v>
      </c>
      <c r="O6" s="990" t="s">
        <v>25</v>
      </c>
      <c r="P6" s="991" t="s">
        <v>26</v>
      </c>
    </row>
    <row r="7" spans="1:19" ht="16" x14ac:dyDescent="0.2">
      <c r="B7" s="5" t="s">
        <v>1044</v>
      </c>
      <c r="G7" s="123"/>
      <c r="H7" s="123"/>
      <c r="I7" s="123"/>
      <c r="J7" s="123"/>
      <c r="K7" s="123"/>
      <c r="L7" s="123"/>
      <c r="M7" s="123"/>
      <c r="O7" s="1124"/>
      <c r="P7" s="1124"/>
    </row>
    <row r="8" spans="1:19" ht="14.75" customHeight="1" x14ac:dyDescent="0.2">
      <c r="B8" s="5"/>
      <c r="C8" s="8" t="s">
        <v>1045</v>
      </c>
      <c r="G8" s="107">
        <f ca="1" xml:space="preserve"> G9*'Battery Design'!G362</f>
        <v>50000000.000008866</v>
      </c>
      <c r="H8" s="107">
        <f ca="1" xml:space="preserve"> H9*'Battery Design'!H362</f>
        <v>50000000.000008866</v>
      </c>
      <c r="I8" s="107">
        <f ca="1" xml:space="preserve"> I9*'Battery Design'!I362</f>
        <v>50000000.000008866</v>
      </c>
      <c r="J8" s="107">
        <f ca="1" xml:space="preserve"> J9*'Battery Design'!J362</f>
        <v>50000000.000008866</v>
      </c>
      <c r="K8" s="107">
        <f ca="1" xml:space="preserve"> K9*'Battery Design'!K362</f>
        <v>50000000.000008866</v>
      </c>
      <c r="L8" s="107">
        <f ca="1" xml:space="preserve"> L9*'Battery Design'!L362</f>
        <v>50000000.000008866</v>
      </c>
      <c r="M8" s="107">
        <f ca="1" xml:space="preserve"> M9*'Battery Design'!M362</f>
        <v>50000000.000008866</v>
      </c>
      <c r="O8" s="1124"/>
      <c r="P8" s="1124"/>
    </row>
    <row r="9" spans="1:19" ht="14.75" customHeight="1" x14ac:dyDescent="0.2">
      <c r="B9" s="223"/>
      <c r="C9" s="8" t="s">
        <v>1046</v>
      </c>
      <c r="D9" s="8"/>
      <c r="E9" s="26"/>
      <c r="F9" s="46"/>
      <c r="G9" s="107">
        <f>Dashboard!D110</f>
        <v>500000</v>
      </c>
      <c r="H9" s="107">
        <f>Dashboard!E110</f>
        <v>500000</v>
      </c>
      <c r="I9" s="107">
        <f>Dashboard!F110</f>
        <v>500000</v>
      </c>
      <c r="J9" s="107">
        <f>Dashboard!G110</f>
        <v>500000</v>
      </c>
      <c r="K9" s="107">
        <f>Dashboard!H110</f>
        <v>500000</v>
      </c>
      <c r="L9" s="107">
        <f>Dashboard!I110</f>
        <v>500000</v>
      </c>
      <c r="M9" s="107">
        <f>Dashboard!J110</f>
        <v>500000</v>
      </c>
      <c r="N9" s="397"/>
      <c r="O9" s="398"/>
      <c r="P9" s="107"/>
      <c r="Q9" s="400"/>
      <c r="R9" s="400"/>
      <c r="S9" s="400"/>
    </row>
    <row r="10" spans="1:19" ht="14.75" customHeight="1" x14ac:dyDescent="0.2">
      <c r="B10" s="223"/>
      <c r="C10" s="8" t="s">
        <v>1047</v>
      </c>
      <c r="D10" s="8"/>
      <c r="E10" s="26"/>
      <c r="F10" s="46"/>
      <c r="G10" s="107">
        <f>'Battery Design'!G28*'Battery Design'!G12*G9</f>
        <v>2000000</v>
      </c>
      <c r="H10" s="107">
        <f>'Battery Design'!H28*'Battery Design'!H12*H9</f>
        <v>2000000</v>
      </c>
      <c r="I10" s="107">
        <f>'Battery Design'!I28*'Battery Design'!I12*I9</f>
        <v>2000000</v>
      </c>
      <c r="J10" s="107">
        <f>'Battery Design'!J28*'Battery Design'!J12*J9</f>
        <v>2000000</v>
      </c>
      <c r="K10" s="107">
        <f>'Battery Design'!K28*'Battery Design'!K12*K9</f>
        <v>2000000</v>
      </c>
      <c r="L10" s="107">
        <f>'Battery Design'!L28*'Battery Design'!L12*L9</f>
        <v>2000000</v>
      </c>
      <c r="M10" s="107">
        <f>'Battery Design'!M28*'Battery Design'!M12*M9</f>
        <v>2000000</v>
      </c>
      <c r="N10" s="397"/>
      <c r="O10" s="398"/>
      <c r="P10" s="107"/>
      <c r="Q10" s="401"/>
      <c r="R10" s="401"/>
      <c r="S10" s="401"/>
    </row>
    <row r="11" spans="1:19" ht="14.75" customHeight="1" x14ac:dyDescent="0.2">
      <c r="B11" s="223"/>
      <c r="C11" s="8" t="s">
        <v>1048</v>
      </c>
      <c r="G11" s="107">
        <f t="shared" ref="G11:M11" si="0">(G9*G34)</f>
        <v>10000000</v>
      </c>
      <c r="H11" s="107">
        <f t="shared" si="0"/>
        <v>10000000</v>
      </c>
      <c r="I11" s="107">
        <f t="shared" si="0"/>
        <v>10000000</v>
      </c>
      <c r="J11" s="107">
        <f t="shared" si="0"/>
        <v>10000000</v>
      </c>
      <c r="K11" s="107">
        <f t="shared" si="0"/>
        <v>10000000</v>
      </c>
      <c r="L11" s="107">
        <f t="shared" si="0"/>
        <v>10000000</v>
      </c>
      <c r="M11" s="107">
        <f t="shared" si="0"/>
        <v>10000000</v>
      </c>
      <c r="N11" s="397"/>
      <c r="O11" s="398"/>
      <c r="P11" s="107"/>
      <c r="Q11" s="401"/>
      <c r="R11" s="401"/>
      <c r="S11" s="401"/>
    </row>
    <row r="12" spans="1:19" ht="14.75" customHeight="1" x14ac:dyDescent="0.2">
      <c r="B12" s="223"/>
      <c r="C12" s="8" t="s">
        <v>1049</v>
      </c>
      <c r="D12" s="8"/>
      <c r="E12" s="26"/>
      <c r="F12" s="26"/>
      <c r="G12" s="107">
        <f>G9*'Battery Design'!G29*'Battery Design'!G168</f>
        <v>270000000</v>
      </c>
      <c r="H12" s="107">
        <f>H9*'Battery Design'!H29*'Battery Design'!H168</f>
        <v>270000000</v>
      </c>
      <c r="I12" s="107">
        <f>I9*'Battery Design'!I29*'Battery Design'!I168</f>
        <v>270000000</v>
      </c>
      <c r="J12" s="107">
        <f>J9*'Battery Design'!J29*'Battery Design'!J168</f>
        <v>270000000</v>
      </c>
      <c r="K12" s="107">
        <f>K9*'Battery Design'!K29*'Battery Design'!K168</f>
        <v>270000000</v>
      </c>
      <c r="L12" s="107">
        <f>L9*'Battery Design'!L29*'Battery Design'!L168</f>
        <v>270000000</v>
      </c>
      <c r="M12" s="107">
        <f>M9*'Battery Design'!M29*'Battery Design'!M168</f>
        <v>270000000</v>
      </c>
      <c r="N12" s="397"/>
      <c r="O12" s="398"/>
      <c r="P12" s="107"/>
      <c r="Q12" s="401"/>
      <c r="R12" s="401"/>
      <c r="S12" s="401"/>
    </row>
    <row r="13" spans="1:19" ht="14.75" customHeight="1" x14ac:dyDescent="0.2">
      <c r="B13" s="5"/>
      <c r="C13" s="8" t="s">
        <v>1050</v>
      </c>
      <c r="D13" s="8"/>
      <c r="E13" s="26"/>
      <c r="F13" s="26"/>
      <c r="G13" s="107">
        <f ca="1">IF(_manufact_method = 1, G9*'Battery Design'!G362, Dashboard!D112*10^6)</f>
        <v>50000000.000008866</v>
      </c>
      <c r="H13" s="107">
        <f ca="1">IF(_manufact_method = 1, H9*'Battery Design'!H362, Dashboard!E112*10^6)</f>
        <v>50000000.000008866</v>
      </c>
      <c r="I13" s="107">
        <f ca="1">IF(_manufact_method = 1, I9*'Battery Design'!I362, Dashboard!F112*10^6)</f>
        <v>50000000.000008866</v>
      </c>
      <c r="J13" s="107">
        <f ca="1">IF(_manufact_method = 1, J9*'Battery Design'!J362, Dashboard!G112*10^6)</f>
        <v>50000000.000008866</v>
      </c>
      <c r="K13" s="107">
        <f ca="1">IF(_manufact_method = 1, K9*'Battery Design'!K362, Dashboard!H112*10^6)</f>
        <v>50000000.000008866</v>
      </c>
      <c r="L13" s="107">
        <f ca="1">IF(_manufact_method = 1, L9*'Battery Design'!L362, Dashboard!I112*10^6)</f>
        <v>50000000.000008866</v>
      </c>
      <c r="M13" s="107">
        <f ca="1">IF(_manufact_method = 1, M9*'Battery Design'!M362, Dashboard!J112*10^6)</f>
        <v>50000000.000008866</v>
      </c>
      <c r="N13" s="397"/>
      <c r="O13" s="1126"/>
      <c r="P13" s="107"/>
      <c r="Q13" s="399"/>
      <c r="R13" s="399"/>
      <c r="S13" s="399"/>
    </row>
    <row r="14" spans="1:19" ht="14.75" customHeight="1" x14ac:dyDescent="0.2">
      <c r="B14" s="223"/>
      <c r="C14" s="8" t="s">
        <v>1051</v>
      </c>
      <c r="D14" s="8"/>
      <c r="E14" s="26"/>
      <c r="F14" s="26"/>
      <c r="G14" s="107">
        <f>ROUNDUP(IF(_manufact_method = 1, G9*G33,  Dashboard!D112*1000^3/('Battery Design'!G35*'Summary of Results'!G99)), 0)</f>
        <v>200000000</v>
      </c>
      <c r="H14" s="107">
        <f>ROUNDUP(IF(_manufact_method = 1, H9*H33,  Dashboard!E112*1000^3/('Battery Design'!H35*'Summary of Results'!H99)), 0)</f>
        <v>200000000</v>
      </c>
      <c r="I14" s="107">
        <f>ROUNDUP(IF(_manufact_method = 1, I9*I33,  Dashboard!F112*1000^3/('Battery Design'!I35*'Summary of Results'!I99)), 0)</f>
        <v>200000000</v>
      </c>
      <c r="J14" s="107">
        <f>ROUNDUP(IF(_manufact_method = 1, J9*J33,  Dashboard!G112*1000^3/('Battery Design'!J35*'Summary of Results'!J99)), 0)</f>
        <v>200000000</v>
      </c>
      <c r="K14" s="107">
        <f>ROUNDUP(IF(_manufact_method = 1, K9*K33,  Dashboard!H112*1000^3/('Battery Design'!K35*'Summary of Results'!K99)), 0)</f>
        <v>200000000</v>
      </c>
      <c r="L14" s="107">
        <f>ROUNDUP(IF(_manufact_method = 1, L9*L33,  Dashboard!I112*1000^3/('Battery Design'!L35*'Summary of Results'!L99)), 0)</f>
        <v>200000000</v>
      </c>
      <c r="M14" s="107">
        <f>ROUNDUP(IF(_manufact_method = 1, M9*M33,  Dashboard!J112*1000^3/('Battery Design'!M35*'Summary of Results'!M99)), 0)</f>
        <v>200000000</v>
      </c>
      <c r="N14" s="397"/>
      <c r="O14" s="1126"/>
      <c r="P14" s="107"/>
      <c r="Q14" s="401"/>
      <c r="R14" s="401"/>
      <c r="S14" s="401"/>
    </row>
    <row r="15" spans="1:19" ht="14.75" customHeight="1" x14ac:dyDescent="0.2">
      <c r="B15" s="223"/>
      <c r="C15" s="8" t="s">
        <v>1052</v>
      </c>
      <c r="D15" s="8"/>
      <c r="E15" s="26"/>
      <c r="F15" s="26"/>
      <c r="G15" s="107">
        <f>G14/Dashboard!$D115*100</f>
        <v>210526315.78947365</v>
      </c>
      <c r="H15" s="107">
        <f>H14/Dashboard!$D115*100</f>
        <v>210526315.78947365</v>
      </c>
      <c r="I15" s="107">
        <f>I14/Dashboard!$D115*100</f>
        <v>210526315.78947365</v>
      </c>
      <c r="J15" s="107">
        <f>J14/Dashboard!$D115*100</f>
        <v>210526315.78947365</v>
      </c>
      <c r="K15" s="107">
        <f>K14/Dashboard!$D115*100</f>
        <v>210526315.78947365</v>
      </c>
      <c r="L15" s="107">
        <f>L14/Dashboard!$D115*100</f>
        <v>210526315.78947365</v>
      </c>
      <c r="M15" s="107">
        <f>M14/Dashboard!$D115*100</f>
        <v>210526315.78947365</v>
      </c>
      <c r="N15" s="397"/>
      <c r="O15" s="398"/>
      <c r="P15" s="107"/>
      <c r="Q15" s="401"/>
      <c r="R15" s="401"/>
      <c r="S15" s="401"/>
    </row>
    <row r="16" spans="1:19" ht="14.75" customHeight="1" x14ac:dyDescent="0.2">
      <c r="B16" s="223"/>
      <c r="C16" s="8" t="s">
        <v>1053</v>
      </c>
      <c r="D16" s="8"/>
      <c r="E16" s="26"/>
      <c r="F16" s="26"/>
      <c r="G16" s="107">
        <f ca="1">G15*'Battery Design'!G293/10000</f>
        <v>245403565.74601293</v>
      </c>
      <c r="H16" s="107">
        <f ca="1">H15*'Battery Design'!H293/10000</f>
        <v>245403565.74601293</v>
      </c>
      <c r="I16" s="107">
        <f ca="1">I15*'Battery Design'!I293/10000</f>
        <v>245403565.74601293</v>
      </c>
      <c r="J16" s="107">
        <f ca="1">J15*'Battery Design'!J293/10000</f>
        <v>245403565.74601293</v>
      </c>
      <c r="K16" s="107">
        <f ca="1">K15*'Battery Design'!K293/10000</f>
        <v>245403565.74601293</v>
      </c>
      <c r="L16" s="107">
        <f ca="1">L15*'Battery Design'!L293/10000</f>
        <v>245403565.74601293</v>
      </c>
      <c r="M16" s="107">
        <f ca="1">M15*'Battery Design'!M293/10000</f>
        <v>245403565.74601293</v>
      </c>
      <c r="N16" s="397"/>
      <c r="O16" s="398"/>
      <c r="P16" s="107"/>
      <c r="Q16" s="401"/>
      <c r="R16" s="1103"/>
      <c r="S16" s="401"/>
    </row>
    <row r="17" spans="2:19" ht="14.75" customHeight="1" x14ac:dyDescent="0.2">
      <c r="B17" s="223"/>
      <c r="C17" s="8" t="s">
        <v>1054</v>
      </c>
      <c r="D17" s="8"/>
      <c r="E17" s="26"/>
      <c r="F17" s="26"/>
      <c r="G17" s="107">
        <f ca="1">G15*'Battery Design'!G294/10000</f>
        <v>254116911.72806925</v>
      </c>
      <c r="H17" s="107">
        <f ca="1">H15*'Battery Design'!H294/10000</f>
        <v>254116911.72806925</v>
      </c>
      <c r="I17" s="107">
        <f ca="1">I15*'Battery Design'!I294/10000</f>
        <v>254116911.72806925</v>
      </c>
      <c r="J17" s="107">
        <f ca="1">J15*'Battery Design'!J294/10000</f>
        <v>254116911.72806925</v>
      </c>
      <c r="K17" s="107">
        <f ca="1">K15*'Battery Design'!K294/10000</f>
        <v>254116911.72806925</v>
      </c>
      <c r="L17" s="107">
        <f ca="1">L15*'Battery Design'!L294/10000</f>
        <v>254116911.72806925</v>
      </c>
      <c r="M17" s="107">
        <f ca="1">M15*'Battery Design'!M294/10000</f>
        <v>254116911.72806925</v>
      </c>
      <c r="N17" s="397"/>
      <c r="O17" s="398"/>
      <c r="P17" s="107"/>
      <c r="Q17" s="401"/>
      <c r="R17" s="401"/>
      <c r="S17" s="401"/>
    </row>
    <row r="18" spans="2:19" ht="14.75" customHeight="1" x14ac:dyDescent="0.2">
      <c r="B18" s="223"/>
      <c r="C18" s="8" t="s">
        <v>1055</v>
      </c>
      <c r="D18" s="8"/>
      <c r="E18" s="26"/>
      <c r="F18" s="26"/>
      <c r="G18" s="107">
        <f ca="1">G72/Chem!$C$17+'Manufacturing Costs'!G73/Chem!$C$18+'Manufacturing Costs'!G74/Chem!$C$19+'Manufacturing Costs'!G97/Chem!$C$20</f>
        <v>49675879.814543523</v>
      </c>
      <c r="H18" s="107">
        <f ca="1">H72/Chem!$C$17+'Manufacturing Costs'!H73/Chem!$C$18+'Manufacturing Costs'!H74/Chem!$C$19+'Manufacturing Costs'!H97/Chem!$C$20</f>
        <v>49675879.814543523</v>
      </c>
      <c r="I18" s="107">
        <f ca="1">I72/Chem!$C$17+'Manufacturing Costs'!I73/Chem!$C$18+'Manufacturing Costs'!I74/Chem!$C$19+'Manufacturing Costs'!I97/Chem!$C$20</f>
        <v>49675879.814543523</v>
      </c>
      <c r="J18" s="107">
        <f ca="1">J72/Chem!$C$17+'Manufacturing Costs'!J73/Chem!$C$18+'Manufacturing Costs'!J74/Chem!$C$19+'Manufacturing Costs'!J97/Chem!$C$20</f>
        <v>49675879.814543523</v>
      </c>
      <c r="K18" s="107">
        <f ca="1">K72/Chem!$C$17+'Manufacturing Costs'!K73/Chem!$C$18+'Manufacturing Costs'!K74/Chem!$C$19+'Manufacturing Costs'!K97/Chem!$C$20</f>
        <v>49675879.814543523</v>
      </c>
      <c r="L18" s="107">
        <f ca="1">L72/Chem!$C$17+'Manufacturing Costs'!L73/Chem!$C$18+'Manufacturing Costs'!L74/Chem!$C$19+'Manufacturing Costs'!L97/Chem!$C$20</f>
        <v>49675879.814543523</v>
      </c>
      <c r="M18" s="107">
        <f ca="1">M72/Chem!$C$17+'Manufacturing Costs'!M73/Chem!$C$18+'Manufacturing Costs'!M74/Chem!$C$19+'Manufacturing Costs'!M97/Chem!$C$20</f>
        <v>49675879.814543523</v>
      </c>
      <c r="N18" s="107" t="e">
        <f>N72/Chem!$C$17+'Manufacturing Costs'!N73/Chem!$C$18+'Manufacturing Costs'!N74/Chem!$C$19+'Manufacturing Costs'!N97/Chem!$C$20</f>
        <v>#VALUE!</v>
      </c>
      <c r="O18" s="398"/>
      <c r="P18" s="107"/>
      <c r="S18" s="401"/>
    </row>
    <row r="19" spans="2:19" ht="14.75" customHeight="1" x14ac:dyDescent="0.2">
      <c r="B19" s="223"/>
      <c r="C19" s="8" t="s">
        <v>1056</v>
      </c>
      <c r="D19" s="8"/>
      <c r="E19" s="26"/>
      <c r="F19" s="26"/>
      <c r="G19" s="107">
        <f ca="1">G78/Chem!$C$47+'Manufacturing Costs'!G79/Chem!$C$48+'Manufacturing Costs'!G80/Chem!$C$49+'Manufacturing Costs'!G98/Chem!$C$50</f>
        <v>66213242.354704604</v>
      </c>
      <c r="H19" s="107">
        <f ca="1">H78/Chem!$C$47+'Manufacturing Costs'!H79/Chem!$C$48+'Manufacturing Costs'!H80/Chem!$C$49+'Manufacturing Costs'!H98/Chem!$C$50</f>
        <v>66213242.354704604</v>
      </c>
      <c r="I19" s="107">
        <f ca="1">I78/Chem!$C$47+'Manufacturing Costs'!I79/Chem!$C$48+'Manufacturing Costs'!I80/Chem!$C$49+'Manufacturing Costs'!I98/Chem!$C$50</f>
        <v>66213242.354704604</v>
      </c>
      <c r="J19" s="107">
        <f ca="1">J78/Chem!$C$47+'Manufacturing Costs'!J79/Chem!$C$48+'Manufacturing Costs'!J80/Chem!$C$49+'Manufacturing Costs'!J98/Chem!$C$50</f>
        <v>66213242.354704604</v>
      </c>
      <c r="K19" s="107">
        <f ca="1">K78/Chem!$C$47+'Manufacturing Costs'!K79/Chem!$C$48+'Manufacturing Costs'!K80/Chem!$C$49+'Manufacturing Costs'!K98/Chem!$C$50</f>
        <v>66213242.354704604</v>
      </c>
      <c r="L19" s="107">
        <f ca="1">L78/Chem!$C$47+'Manufacturing Costs'!L79/Chem!$C$48+'Manufacturing Costs'!L80/Chem!$C$49+'Manufacturing Costs'!L98/Chem!$C$50</f>
        <v>66213242.354704604</v>
      </c>
      <c r="M19" s="107">
        <f ca="1">M78/Chem!$C$47+'Manufacturing Costs'!M79/Chem!$C$48+'Manufacturing Costs'!M80/Chem!$C$49+'Manufacturing Costs'!M98/Chem!$C$50</f>
        <v>66213242.354704604</v>
      </c>
      <c r="N19" s="397"/>
      <c r="O19" s="398"/>
      <c r="P19" s="107"/>
      <c r="Q19" s="401"/>
      <c r="S19" s="401"/>
    </row>
    <row r="20" spans="2:19" ht="14.75" customHeight="1" x14ac:dyDescent="0.2">
      <c r="B20" s="223"/>
      <c r="C20" s="8" t="s">
        <v>1057</v>
      </c>
      <c r="D20" s="8"/>
      <c r="E20" s="26"/>
      <c r="F20" s="26"/>
      <c r="G20" s="107">
        <f t="shared" ref="G20:M21" ca="1" si="1">G97</f>
        <v>29111541.888219908</v>
      </c>
      <c r="H20" s="107">
        <f t="shared" ca="1" si="1"/>
        <v>29111541.888219908</v>
      </c>
      <c r="I20" s="107">
        <f t="shared" ca="1" si="1"/>
        <v>29111541.888219908</v>
      </c>
      <c r="J20" s="107">
        <f t="shared" ca="1" si="1"/>
        <v>29111541.888219908</v>
      </c>
      <c r="K20" s="107">
        <f t="shared" ca="1" si="1"/>
        <v>29111541.888219908</v>
      </c>
      <c r="L20" s="107">
        <f t="shared" ca="1" si="1"/>
        <v>29111541.888219908</v>
      </c>
      <c r="M20" s="107">
        <f t="shared" ca="1" si="1"/>
        <v>29111541.888219908</v>
      </c>
      <c r="N20" s="397"/>
      <c r="O20" s="398"/>
      <c r="P20" s="107"/>
      <c r="Q20" s="401"/>
      <c r="S20" s="401"/>
    </row>
    <row r="21" spans="2:19" ht="14.75" customHeight="1" x14ac:dyDescent="0.2">
      <c r="B21" s="223"/>
      <c r="C21" s="8" t="s">
        <v>1058</v>
      </c>
      <c r="D21" s="8"/>
      <c r="E21" s="26"/>
      <c r="F21" s="26"/>
      <c r="G21" s="107">
        <f t="shared" ca="1" si="1"/>
        <v>42140164.626728997</v>
      </c>
      <c r="H21" s="107">
        <f t="shared" ca="1" si="1"/>
        <v>42140164.626728997</v>
      </c>
      <c r="I21" s="107">
        <f t="shared" ca="1" si="1"/>
        <v>42140164.626728997</v>
      </c>
      <c r="J21" s="107">
        <f t="shared" ca="1" si="1"/>
        <v>42140164.626728997</v>
      </c>
      <c r="K21" s="107">
        <f t="shared" ca="1" si="1"/>
        <v>42140164.626728997</v>
      </c>
      <c r="L21" s="107">
        <f t="shared" ca="1" si="1"/>
        <v>42140164.626728997</v>
      </c>
      <c r="M21" s="107">
        <f t="shared" ca="1" si="1"/>
        <v>42140164.626728997</v>
      </c>
      <c r="N21" s="397"/>
      <c r="O21" s="398"/>
      <c r="P21" s="107"/>
      <c r="Q21" s="401"/>
      <c r="S21" s="401"/>
    </row>
    <row r="22" spans="2:19" ht="14.75" customHeight="1" x14ac:dyDescent="0.2">
      <c r="B22" s="223"/>
      <c r="C22" s="9" t="s">
        <v>1059</v>
      </c>
      <c r="D22" s="8"/>
      <c r="E22" s="26"/>
      <c r="F22" s="26"/>
      <c r="G22" s="107">
        <f t="shared" ref="G22:M22" ca="1" si="2">SUM(G279,G287,G294,G301,G308,G315,G322)</f>
        <v>45893.106179157578</v>
      </c>
      <c r="H22" s="107">
        <f t="shared" ca="1" si="2"/>
        <v>45893.106179157578</v>
      </c>
      <c r="I22" s="107">
        <f t="shared" ca="1" si="2"/>
        <v>45893.106179157578</v>
      </c>
      <c r="J22" s="107">
        <f t="shared" ca="1" si="2"/>
        <v>45893.106179157578</v>
      </c>
      <c r="K22" s="107">
        <f t="shared" ca="1" si="2"/>
        <v>45893.106179157578</v>
      </c>
      <c r="L22" s="107">
        <f t="shared" ca="1" si="2"/>
        <v>45893.106179157578</v>
      </c>
      <c r="M22" s="107">
        <f t="shared" ca="1" si="2"/>
        <v>45893.106179157578</v>
      </c>
      <c r="N22" s="218"/>
      <c r="O22" s="218"/>
      <c r="P22" s="107"/>
      <c r="Q22" s="218"/>
      <c r="R22" s="218"/>
      <c r="S22" s="218"/>
    </row>
    <row r="23" spans="2:19" ht="14.75" customHeight="1" x14ac:dyDescent="0.2">
      <c r="B23" s="223"/>
      <c r="C23" s="9"/>
      <c r="D23" s="8"/>
      <c r="E23" s="26"/>
      <c r="F23" s="26"/>
      <c r="G23" s="107"/>
      <c r="H23" s="107"/>
      <c r="I23" s="107"/>
      <c r="J23" s="107"/>
      <c r="K23" s="107"/>
      <c r="L23" s="107"/>
      <c r="M23" s="107"/>
      <c r="N23" s="218"/>
      <c r="O23" s="218"/>
      <c r="P23" s="107"/>
      <c r="Q23" s="218"/>
      <c r="R23" s="218"/>
      <c r="S23" s="218"/>
    </row>
    <row r="24" spans="2:19" ht="14.75" customHeight="1" x14ac:dyDescent="0.15">
      <c r="C24" s="8" t="s">
        <v>1060</v>
      </c>
      <c r="G24" s="121">
        <f t="shared" ref="G24:N24" si="3">G33*G9</f>
        <v>200000000</v>
      </c>
      <c r="H24" s="121">
        <f t="shared" si="3"/>
        <v>200000000</v>
      </c>
      <c r="I24" s="121">
        <f t="shared" si="3"/>
        <v>200000000</v>
      </c>
      <c r="J24" s="121">
        <f t="shared" si="3"/>
        <v>200000000</v>
      </c>
      <c r="K24" s="121">
        <f t="shared" si="3"/>
        <v>200000000</v>
      </c>
      <c r="L24" s="121">
        <f t="shared" si="3"/>
        <v>200000000</v>
      </c>
      <c r="M24" s="121">
        <f t="shared" si="3"/>
        <v>200000000</v>
      </c>
      <c r="N24" s="121">
        <f t="shared" si="3"/>
        <v>0</v>
      </c>
      <c r="O24" s="1124"/>
      <c r="P24" s="1097"/>
    </row>
    <row r="25" spans="2:19" ht="14.75" customHeight="1" x14ac:dyDescent="0.2">
      <c r="C25" s="8" t="s">
        <v>2431</v>
      </c>
      <c r="G25" s="133">
        <f ca="1">IF(_manufact_method = 1, G9*'Battery Design'!G362/10^6, Dashboard!D112)</f>
        <v>50.000000000008868</v>
      </c>
      <c r="H25" s="133">
        <f ca="1">IF(_manufact_method = 1, H9*'Battery Design'!H362/10^6, Dashboard!E112)</f>
        <v>50.000000000008868</v>
      </c>
      <c r="I25" s="133">
        <f ca="1">IF(_manufact_method = 1, I9*'Battery Design'!I362/10^6, Dashboard!F112)</f>
        <v>50.000000000008868</v>
      </c>
      <c r="J25" s="133">
        <f ca="1">IF(_manufact_method = 1, J9*'Battery Design'!J362/10^6, Dashboard!G112)</f>
        <v>50.000000000008868</v>
      </c>
      <c r="K25" s="133">
        <f ca="1">IF(_manufact_method = 1, K9*'Battery Design'!K362/10^6, Dashboard!H112)</f>
        <v>50.000000000008868</v>
      </c>
      <c r="L25" s="133">
        <f ca="1">IF(_manufact_method = 1, L9*'Battery Design'!L362/10^6, Dashboard!I112)</f>
        <v>50.000000000008868</v>
      </c>
      <c r="M25" s="133">
        <f ca="1">IF(_manufact_method = 1, M9*'Battery Design'!M362/10^6, Dashboard!J112)</f>
        <v>50.000000000008868</v>
      </c>
      <c r="N25" s="123">
        <f>IF(_manufact_method = 1, N9*'Battery Design'!N362/10^6, Dashboard!K112)</f>
        <v>0</v>
      </c>
      <c r="O25" s="1124"/>
      <c r="P25" s="123"/>
    </row>
    <row r="26" spans="2:19" ht="14.75" customHeight="1" x14ac:dyDescent="0.2">
      <c r="C26" s="8" t="s">
        <v>2432</v>
      </c>
      <c r="G26" s="133">
        <f ca="1">G9*'Battery Design'!G362/10^6</f>
        <v>50.000000000008868</v>
      </c>
      <c r="H26" s="133">
        <f ca="1">H9*'Battery Design'!H362/10^6</f>
        <v>50.000000000008868</v>
      </c>
      <c r="I26" s="133">
        <f ca="1">I9*'Battery Design'!I362/10^6</f>
        <v>50.000000000008868</v>
      </c>
      <c r="J26" s="133">
        <f ca="1">J9*'Battery Design'!J362/10^6</f>
        <v>50.000000000008868</v>
      </c>
      <c r="K26" s="133">
        <f ca="1">K9*'Battery Design'!K362/10^6</f>
        <v>50.000000000008868</v>
      </c>
      <c r="L26" s="133">
        <f ca="1">L9*'Battery Design'!L362/10^6</f>
        <v>50.000000000008868</v>
      </c>
      <c r="M26" s="133">
        <f ca="1">M9*'Battery Design'!M362/10^6</f>
        <v>50.000000000008868</v>
      </c>
      <c r="N26" s="123">
        <f>N9*'Battery Design'!N362/10^6</f>
        <v>0</v>
      </c>
      <c r="O26" s="1124"/>
      <c r="P26" s="123"/>
    </row>
    <row r="27" spans="2:19" ht="16" x14ac:dyDescent="0.2">
      <c r="C27" s="8" t="s">
        <v>1061</v>
      </c>
      <c r="G27" s="164">
        <f ca="1">G25/(G25 + 2*G26)</f>
        <v>0.33333333333333331</v>
      </c>
      <c r="H27" s="164">
        <f t="shared" ref="H27:N27" ca="1" si="4">H25/(H25 + 2*H26)</f>
        <v>0.33333333333333331</v>
      </c>
      <c r="I27" s="164">
        <f t="shared" ca="1" si="4"/>
        <v>0.33333333333333331</v>
      </c>
      <c r="J27" s="164">
        <f t="shared" ca="1" si="4"/>
        <v>0.33333333333333331</v>
      </c>
      <c r="K27" s="164">
        <f t="shared" ca="1" si="4"/>
        <v>0.33333333333333331</v>
      </c>
      <c r="L27" s="164">
        <f ca="1">L25/(L25 + 2*L26)</f>
        <v>0.33333333333333331</v>
      </c>
      <c r="M27" s="164">
        <f ca="1">M25/(M25 + 2*M26)</f>
        <v>0.33333333333333331</v>
      </c>
      <c r="N27" s="123" t="e">
        <f t="shared" si="4"/>
        <v>#DIV/0!</v>
      </c>
      <c r="O27" s="1124"/>
      <c r="P27" s="519"/>
    </row>
    <row r="28" spans="2:19" ht="16" x14ac:dyDescent="0.2">
      <c r="C28" s="8" t="s">
        <v>1062</v>
      </c>
      <c r="G28" s="164">
        <f ca="1">3*G25/(3*G25 + G26)</f>
        <v>0.75</v>
      </c>
      <c r="H28" s="164">
        <f t="shared" ref="H28:M28" ca="1" si="5">3*H25/(3*H25 + H26)</f>
        <v>0.75</v>
      </c>
      <c r="I28" s="164">
        <f t="shared" ca="1" si="5"/>
        <v>0.75</v>
      </c>
      <c r="J28" s="164">
        <f t="shared" ca="1" si="5"/>
        <v>0.75</v>
      </c>
      <c r="K28" s="164">
        <f t="shared" ca="1" si="5"/>
        <v>0.75</v>
      </c>
      <c r="L28" s="164">
        <f t="shared" ca="1" si="5"/>
        <v>0.75</v>
      </c>
      <c r="M28" s="164">
        <f t="shared" ca="1" si="5"/>
        <v>0.75</v>
      </c>
      <c r="N28" s="123"/>
      <c r="O28" s="1124"/>
      <c r="P28" s="519"/>
    </row>
    <row r="29" spans="2:19" ht="16" x14ac:dyDescent="0.2">
      <c r="C29" s="8" t="s">
        <v>1063</v>
      </c>
      <c r="G29" s="164">
        <f>G24/G14</f>
        <v>1</v>
      </c>
      <c r="H29" s="164">
        <f t="shared" ref="H29:N29" si="6">H24/H14</f>
        <v>1</v>
      </c>
      <c r="I29" s="164">
        <f t="shared" si="6"/>
        <v>1</v>
      </c>
      <c r="J29" s="164">
        <f t="shared" si="6"/>
        <v>1</v>
      </c>
      <c r="K29" s="164">
        <f t="shared" si="6"/>
        <v>1</v>
      </c>
      <c r="L29" s="164">
        <f t="shared" si="6"/>
        <v>1</v>
      </c>
      <c r="M29" s="164">
        <f t="shared" si="6"/>
        <v>1</v>
      </c>
      <c r="N29" s="1215" t="e">
        <f t="shared" si="6"/>
        <v>#DIV/0!</v>
      </c>
      <c r="O29" s="1124"/>
      <c r="P29" s="519"/>
    </row>
    <row r="30" spans="2:19" ht="16" x14ac:dyDescent="0.2">
      <c r="C30" s="8" t="s">
        <v>2402</v>
      </c>
      <c r="G30" s="121">
        <f t="shared" ref="G30:M30" si="7">IF(_manufact_method = 1, G9, ROUNDUP(G15/G33,0))</f>
        <v>500000</v>
      </c>
      <c r="H30" s="121">
        <f t="shared" si="7"/>
        <v>500000</v>
      </c>
      <c r="I30" s="121">
        <f t="shared" si="7"/>
        <v>500000</v>
      </c>
      <c r="J30" s="121">
        <f t="shared" si="7"/>
        <v>500000</v>
      </c>
      <c r="K30" s="121">
        <f t="shared" si="7"/>
        <v>500000</v>
      </c>
      <c r="L30" s="121">
        <f t="shared" si="7"/>
        <v>500000</v>
      </c>
      <c r="M30" s="121">
        <f t="shared" si="7"/>
        <v>500000</v>
      </c>
      <c r="N30" s="123" t="e">
        <f>IF(_manufact_method = 1,#REF!, ROUNDUP( N15/N33,0))</f>
        <v>#REF!</v>
      </c>
      <c r="O30" s="1124"/>
      <c r="P30" s="123"/>
    </row>
    <row r="31" spans="2:19" ht="15.75" customHeight="1" x14ac:dyDescent="0.2">
      <c r="B31" s="223"/>
      <c r="C31" s="8"/>
      <c r="D31" s="8"/>
      <c r="E31" s="26"/>
      <c r="F31" s="26"/>
      <c r="G31" s="107"/>
      <c r="H31" s="107"/>
      <c r="I31" s="107"/>
      <c r="J31" s="107"/>
      <c r="K31" s="107"/>
      <c r="L31" s="107"/>
      <c r="M31" s="107"/>
      <c r="N31" s="218"/>
      <c r="O31" s="218"/>
      <c r="P31" s="107"/>
      <c r="Q31" s="218"/>
      <c r="R31" s="218"/>
      <c r="S31" s="218"/>
    </row>
    <row r="32" spans="2:19" ht="16" x14ac:dyDescent="0.2">
      <c r="B32" s="5" t="s">
        <v>1064</v>
      </c>
      <c r="C32" s="26"/>
      <c r="D32" s="26"/>
      <c r="E32" s="26"/>
      <c r="F32" s="26"/>
      <c r="G32" s="1214"/>
      <c r="H32" s="95"/>
    </row>
    <row r="33" spans="2:19" x14ac:dyDescent="0.15">
      <c r="C33" t="s">
        <v>164</v>
      </c>
      <c r="D33" s="26"/>
      <c r="E33" s="26"/>
      <c r="F33" s="26"/>
      <c r="G33" s="2">
        <f>'Battery Design'!G31</f>
        <v>400</v>
      </c>
      <c r="H33" s="2">
        <f>'Battery Design'!H31</f>
        <v>400</v>
      </c>
      <c r="I33" s="2">
        <f>'Battery Design'!I31</f>
        <v>400</v>
      </c>
      <c r="J33" s="2">
        <f>'Battery Design'!J31</f>
        <v>400</v>
      </c>
      <c r="K33" s="2">
        <f>'Battery Design'!K31</f>
        <v>400</v>
      </c>
      <c r="L33" s="2">
        <f>'Battery Design'!L31</f>
        <v>400</v>
      </c>
      <c r="M33" s="2">
        <f>'Battery Design'!M31</f>
        <v>400</v>
      </c>
      <c r="P33" s="2"/>
    </row>
    <row r="34" spans="2:19" x14ac:dyDescent="0.15">
      <c r="C34" t="s">
        <v>165</v>
      </c>
      <c r="D34" s="26"/>
      <c r="E34" s="26"/>
      <c r="F34" s="26"/>
      <c r="G34" s="2">
        <f>'Battery Design'!G29</f>
        <v>20</v>
      </c>
      <c r="H34" s="2">
        <f>'Battery Design'!H29</f>
        <v>20</v>
      </c>
      <c r="I34" s="2">
        <f>'Battery Design'!I29</f>
        <v>20</v>
      </c>
      <c r="J34" s="2">
        <f>'Battery Design'!J29</f>
        <v>20</v>
      </c>
      <c r="K34" s="2">
        <f>'Battery Design'!K29</f>
        <v>20</v>
      </c>
      <c r="L34" s="2">
        <f>'Battery Design'!L29</f>
        <v>20</v>
      </c>
      <c r="M34" s="2">
        <f>'Battery Design'!M29</f>
        <v>20</v>
      </c>
      <c r="P34" s="2"/>
    </row>
    <row r="35" spans="2:19" x14ac:dyDescent="0.15">
      <c r="C35" s="8" t="s">
        <v>1065</v>
      </c>
      <c r="D35" s="8"/>
      <c r="E35" s="8"/>
      <c r="F35" s="150"/>
      <c r="G35" s="11">
        <f>'Battery Design'!G$12</f>
        <v>1</v>
      </c>
      <c r="H35" s="11">
        <f>'Battery Design'!H$12</f>
        <v>1</v>
      </c>
      <c r="I35" s="11">
        <f>'Battery Design'!I$12</f>
        <v>1</v>
      </c>
      <c r="J35" s="11">
        <f>'Battery Design'!J$12</f>
        <v>1</v>
      </c>
      <c r="K35" s="11">
        <f>'Battery Design'!K$12</f>
        <v>1</v>
      </c>
      <c r="L35" s="11">
        <f>'Battery Design'!L$12</f>
        <v>1</v>
      </c>
      <c r="M35" s="11">
        <f>'Battery Design'!M$12</f>
        <v>1</v>
      </c>
      <c r="P35" s="11"/>
    </row>
    <row r="36" spans="2:19" ht="21" thickBot="1" x14ac:dyDescent="0.25">
      <c r="B36" s="223"/>
      <c r="C36" s="8"/>
      <c r="D36" s="8"/>
      <c r="E36" s="26"/>
      <c r="F36" s="26"/>
      <c r="G36" s="107"/>
      <c r="H36" s="107"/>
      <c r="I36" s="107"/>
      <c r="J36" s="107"/>
      <c r="K36" s="107"/>
      <c r="L36" s="107"/>
      <c r="M36" s="107"/>
      <c r="N36" s="218"/>
      <c r="O36" s="218"/>
      <c r="P36" s="218"/>
      <c r="Q36" s="218"/>
      <c r="R36" s="218"/>
      <c r="S36" s="218"/>
    </row>
    <row r="37" spans="2:19" ht="21" thickBot="1" x14ac:dyDescent="0.25">
      <c r="B37" s="1262" t="s">
        <v>1066</v>
      </c>
      <c r="C37" s="1263"/>
      <c r="D37" s="1263"/>
      <c r="E37" s="1263"/>
      <c r="F37" s="1263"/>
      <c r="G37" s="1263"/>
      <c r="H37" s="1263"/>
      <c r="I37" s="1263"/>
      <c r="J37" s="1263"/>
      <c r="K37" s="1263"/>
      <c r="L37" s="1263"/>
      <c r="M37" s="1264"/>
      <c r="N37" s="218"/>
      <c r="O37" s="218"/>
      <c r="P37" s="218"/>
      <c r="Q37" s="218"/>
      <c r="R37" s="218"/>
      <c r="S37" s="218"/>
    </row>
    <row r="38" spans="2:19" ht="20" x14ac:dyDescent="0.2">
      <c r="B38" s="223"/>
      <c r="C38" s="8"/>
      <c r="D38" s="8"/>
      <c r="E38" s="26"/>
      <c r="F38" s="26"/>
      <c r="G38" s="107"/>
      <c r="H38" s="107"/>
      <c r="I38" s="107"/>
      <c r="J38" s="107"/>
      <c r="K38" s="107"/>
      <c r="L38" s="107"/>
      <c r="M38" s="107"/>
      <c r="N38" s="218"/>
      <c r="O38" s="218"/>
      <c r="P38" s="218"/>
      <c r="Q38" s="218"/>
      <c r="R38" s="218"/>
      <c r="S38" s="218"/>
    </row>
    <row r="39" spans="2:19" ht="16" x14ac:dyDescent="0.2">
      <c r="B39" s="5" t="s">
        <v>1067</v>
      </c>
      <c r="C39" s="26"/>
      <c r="D39" s="26"/>
      <c r="E39" s="8"/>
      <c r="F39" s="83" t="s">
        <v>1068</v>
      </c>
      <c r="G39" s="8"/>
      <c r="H39" s="8"/>
      <c r="I39" s="8"/>
      <c r="J39" s="8"/>
      <c r="K39" s="8"/>
      <c r="L39" s="8"/>
      <c r="M39" s="8"/>
      <c r="N39" s="8"/>
      <c r="O39" s="8"/>
      <c r="P39" s="8"/>
      <c r="Q39" s="26"/>
      <c r="R39" s="8"/>
    </row>
    <row r="40" spans="2:19" ht="14" x14ac:dyDescent="0.15">
      <c r="B40" s="8" t="s">
        <v>1069</v>
      </c>
      <c r="C40" s="26"/>
      <c r="D40" s="26"/>
      <c r="E40" s="8"/>
      <c r="F40" s="81"/>
      <c r="G40" s="175">
        <f>IF(G41="",IF(Chem!$C$14 = "NMP", 16, 40),G41)</f>
        <v>16</v>
      </c>
      <c r="H40" s="175">
        <f>IF(H41="",IF(Chem!$C$14 = "NMP", 16, 40),H41)</f>
        <v>16</v>
      </c>
      <c r="I40" s="175">
        <f>IF(I41="",IF(Chem!$C$14 = "NMP", 16, 40),I41)</f>
        <v>16</v>
      </c>
      <c r="J40" s="175">
        <f>IF(J41="",IF(Chem!$C$14 = "NMP", 16, 40),J41)</f>
        <v>16</v>
      </c>
      <c r="K40" s="175">
        <f>IF(K41="",IF(Chem!$C$14 = "NMP", 16, 40),K41)</f>
        <v>16</v>
      </c>
      <c r="L40" s="175">
        <f>IF(L41="",IF(Chem!$C$14 = "NMP", 16, 40),L41)</f>
        <v>16</v>
      </c>
      <c r="M40" s="175">
        <f>IF(M41="",IF(Chem!$C$14 = "NMP", 16, 40),M41)</f>
        <v>16</v>
      </c>
      <c r="N40" s="8"/>
      <c r="O40" s="562"/>
      <c r="P40" s="8"/>
      <c r="Q40" s="26"/>
      <c r="R40" s="8"/>
    </row>
    <row r="41" spans="2:19" ht="14" x14ac:dyDescent="0.15">
      <c r="B41" s="8" t="s">
        <v>1070</v>
      </c>
      <c r="C41" s="26"/>
      <c r="D41" s="26"/>
      <c r="E41" s="8"/>
      <c r="F41" s="81"/>
      <c r="G41" s="1079"/>
      <c r="H41" s="1079"/>
      <c r="I41" s="1079"/>
      <c r="J41" s="1079"/>
      <c r="K41" s="1079"/>
      <c r="L41" s="1079"/>
      <c r="M41" s="1079"/>
      <c r="N41" s="8"/>
      <c r="O41" s="562"/>
      <c r="P41" s="8"/>
      <c r="Q41" s="26"/>
      <c r="R41" s="8"/>
    </row>
    <row r="42" spans="2:19" ht="14" x14ac:dyDescent="0.15">
      <c r="B42" s="8" t="s">
        <v>1071</v>
      </c>
      <c r="C42" s="26"/>
      <c r="D42" s="26"/>
      <c r="E42" s="8"/>
      <c r="F42" s="81"/>
      <c r="G42" s="175">
        <f>IF(G43="",IF(Chem!$C$44 = "NMP", 16, 40),G43)</f>
        <v>40</v>
      </c>
      <c r="H42" s="175">
        <f>IF(H43="",IF(Chem!$C$44 = "NMP", 16, 40),H43)</f>
        <v>40</v>
      </c>
      <c r="I42" s="175">
        <f>IF(I43="",IF(Chem!$C$44 = "NMP", 16, 40),I43)</f>
        <v>40</v>
      </c>
      <c r="J42" s="175">
        <f>IF(J43="",IF(Chem!$C$44 = "NMP", 16, 40),J43)</f>
        <v>40</v>
      </c>
      <c r="K42" s="175">
        <f>IF(K43="",IF(Chem!$C$44 = "NMP", 16, 40),K43)</f>
        <v>40</v>
      </c>
      <c r="L42" s="175">
        <f>IF(L43="",IF(Chem!$C$44 = "NMP", 16, 40),L43)</f>
        <v>40</v>
      </c>
      <c r="M42" s="175">
        <f>IF(M43="",IF(Chem!$C$44 = "NMP", 16, 40),M43)</f>
        <v>40</v>
      </c>
      <c r="N42" s="175">
        <f>IF(N43="",IF(Chem!$C$44 = "NMP", 16, 40),N43)</f>
        <v>40</v>
      </c>
      <c r="O42" s="562"/>
      <c r="P42" s="8"/>
      <c r="Q42" s="26"/>
      <c r="R42" s="8"/>
    </row>
    <row r="43" spans="2:19" ht="14" x14ac:dyDescent="0.15">
      <c r="B43" s="8" t="s">
        <v>1072</v>
      </c>
      <c r="C43" s="26"/>
      <c r="D43" s="26"/>
      <c r="E43" s="8"/>
      <c r="F43" s="81"/>
      <c r="G43" s="1079"/>
      <c r="H43" s="1079"/>
      <c r="I43" s="1079"/>
      <c r="J43" s="1079"/>
      <c r="K43" s="1079"/>
      <c r="L43" s="1079"/>
      <c r="M43" s="1079"/>
      <c r="N43" s="8"/>
      <c r="O43" s="562"/>
      <c r="P43" s="8"/>
      <c r="Q43" s="26"/>
      <c r="R43" s="8"/>
    </row>
    <row r="44" spans="2:19" ht="16" x14ac:dyDescent="0.2">
      <c r="B44" s="5"/>
      <c r="C44" s="26"/>
      <c r="D44" s="26"/>
      <c r="E44" s="8"/>
      <c r="F44" s="81"/>
      <c r="G44" s="8"/>
      <c r="H44" s="8"/>
      <c r="I44" s="8"/>
      <c r="J44" s="8"/>
      <c r="K44" s="8"/>
      <c r="L44" s="8"/>
      <c r="M44" s="8"/>
      <c r="N44" s="8"/>
      <c r="O44" s="8"/>
      <c r="P44" s="8"/>
      <c r="Q44" s="26"/>
      <c r="R44" s="8"/>
    </row>
    <row r="45" spans="2:19" ht="14" x14ac:dyDescent="0.15">
      <c r="B45" s="507" t="s">
        <v>1073</v>
      </c>
      <c r="C45" s="8"/>
      <c r="D45" s="8"/>
      <c r="E45" s="8"/>
      <c r="F45" s="66">
        <f>'Cost Input'!G12</f>
        <v>94.1</v>
      </c>
      <c r="G45" s="8"/>
      <c r="H45" s="8"/>
      <c r="I45" s="8"/>
      <c r="J45" s="8"/>
      <c r="K45" s="8"/>
      <c r="L45" s="8"/>
      <c r="M45" s="8"/>
      <c r="N45" s="8"/>
      <c r="R45" s="8"/>
    </row>
    <row r="46" spans="2:19" x14ac:dyDescent="0.15">
      <c r="B46" s="223" t="str">
        <f>$B$39 &amp; ": " &amp; C46</f>
        <v>Total Cell Materials per Accepted Cell: Positive electrode active material, g/cell</v>
      </c>
      <c r="C46" s="8" t="s">
        <v>1074</v>
      </c>
      <c r="D46" s="8"/>
      <c r="E46" s="8"/>
      <c r="F46" s="66"/>
      <c r="G46" s="108">
        <f ca="1">'Battery Design'!G44/Dashboard!$D$115*100/$F$45*100</f>
        <v>406.19698290865404</v>
      </c>
      <c r="H46" s="108">
        <f ca="1">'Battery Design'!H44/Dashboard!$D$115*100/$F$45*100</f>
        <v>406.19698290865404</v>
      </c>
      <c r="I46" s="108">
        <f ca="1">'Battery Design'!I44/Dashboard!$D$115*100/$F$45*100</f>
        <v>406.19698290865404</v>
      </c>
      <c r="J46" s="108">
        <f ca="1">'Battery Design'!J44/Dashboard!$D$115*100/$F$45*100</f>
        <v>406.19698290865404</v>
      </c>
      <c r="K46" s="108">
        <f ca="1">'Battery Design'!K44/Dashboard!$D$115*100/$F$45*100</f>
        <v>406.19698290865404</v>
      </c>
      <c r="L46" s="108">
        <f ca="1">'Battery Design'!L44/Dashboard!$D$115*100/$F$45*100</f>
        <v>406.19698290865404</v>
      </c>
      <c r="M46" s="108">
        <f ca="1">'Battery Design'!M44/Dashboard!$D$115*100/$F$45*100</f>
        <v>406.19698290865404</v>
      </c>
      <c r="R46" s="8"/>
    </row>
    <row r="47" spans="2:19" ht="13.5" customHeight="1" x14ac:dyDescent="0.15">
      <c r="B47" s="223" t="str">
        <f>$B$39 &amp; ": " &amp; C47</f>
        <v>Total Cell Materials per Accepted Cell: Positive electrode carbon additive, g/cell</v>
      </c>
      <c r="C47" s="8" t="s">
        <v>1075</v>
      </c>
      <c r="D47" s="8"/>
      <c r="E47" s="8"/>
      <c r="F47" s="66"/>
      <c r="G47" s="108">
        <f ca="1">'Battery Design'!G45/Dashboard!$D$115*100/$F$45*100</f>
        <v>17.284977996118865</v>
      </c>
      <c r="H47" s="108">
        <f ca="1">'Battery Design'!H45/Dashboard!$D$115*100/$F$45*100</f>
        <v>17.284977996118865</v>
      </c>
      <c r="I47" s="108">
        <f ca="1">'Battery Design'!I45/Dashboard!$D$115*100/$F$45*100</f>
        <v>17.284977996118865</v>
      </c>
      <c r="J47" s="108">
        <f ca="1">'Battery Design'!J45/Dashboard!$D$115*100/$F$45*100</f>
        <v>17.284977996118865</v>
      </c>
      <c r="K47" s="108">
        <f ca="1">'Battery Design'!K45/Dashboard!$D$115*100/$F$45*100</f>
        <v>17.284977996118865</v>
      </c>
      <c r="L47" s="108">
        <f ca="1">'Battery Design'!L45/Dashboard!$D$115*100/$F$45*100</f>
        <v>17.284977996118865</v>
      </c>
      <c r="M47" s="108">
        <f ca="1">'Battery Design'!M45/Dashboard!$D$115*100/$F$45*100</f>
        <v>17.284977996118865</v>
      </c>
    </row>
    <row r="48" spans="2:19" x14ac:dyDescent="0.15">
      <c r="B48" s="223" t="str">
        <f>$B$39 &amp; ": " &amp; C48</f>
        <v>Total Cell Materials per Accepted Cell: Positive electrode binder, g/cell</v>
      </c>
      <c r="C48" s="8" t="s">
        <v>321</v>
      </c>
      <c r="D48" s="8"/>
      <c r="E48" s="8"/>
      <c r="F48" s="66"/>
      <c r="G48" s="108">
        <f ca="1">'Battery Design'!G46/Dashboard!$D$115*100/$F$45*100</f>
        <v>8.6424889980594326</v>
      </c>
      <c r="H48" s="108">
        <f ca="1">'Battery Design'!H46/Dashboard!$D$115*100/$F$45*100</f>
        <v>8.6424889980594326</v>
      </c>
      <c r="I48" s="108">
        <f ca="1">'Battery Design'!I46/Dashboard!$D$115*100/$F$45*100</f>
        <v>8.6424889980594326</v>
      </c>
      <c r="J48" s="108">
        <f ca="1">'Battery Design'!J46/Dashboard!$D$115*100/$F$45*100</f>
        <v>8.6424889980594326</v>
      </c>
      <c r="K48" s="108">
        <f ca="1">'Battery Design'!K46/Dashboard!$D$115*100/$F$45*100</f>
        <v>8.6424889980594326</v>
      </c>
      <c r="L48" s="108">
        <f ca="1">'Battery Design'!L46/Dashboard!$D$115*100/$F$45*100</f>
        <v>8.6424889980594326</v>
      </c>
      <c r="M48" s="108">
        <f ca="1">'Battery Design'!M46/Dashboard!$D$115*100/$F$45*100</f>
        <v>8.6424889980594326</v>
      </c>
      <c r="N48" s="108"/>
    </row>
    <row r="49" spans="2:17" ht="12.75" customHeight="1" x14ac:dyDescent="0.15">
      <c r="B49" s="223" t="str">
        <f>$B$39 &amp; ": " &amp; C49</f>
        <v>Total Cell Materials per Accepted Cell: Positive electrode binder solvent (NMP), g/cell</v>
      </c>
      <c r="C49" s="8" t="str">
        <f>"Positive electrode binder solvent (" &amp; Chem!$C$14 &amp;"), g/cell"</f>
        <v>Positive electrode binder solvent (NMP), g/cell</v>
      </c>
      <c r="D49" s="8"/>
      <c r="E49" s="8"/>
      <c r="F49" s="66"/>
      <c r="G49" s="108">
        <f ca="1">G40*G48</f>
        <v>138.27982396895092</v>
      </c>
      <c r="H49" s="108">
        <f t="shared" ref="H49:M49" ca="1" si="8">H40*H48</f>
        <v>138.27982396895092</v>
      </c>
      <c r="I49" s="108">
        <f t="shared" ca="1" si="8"/>
        <v>138.27982396895092</v>
      </c>
      <c r="J49" s="108">
        <f t="shared" ca="1" si="8"/>
        <v>138.27982396895092</v>
      </c>
      <c r="K49" s="108">
        <f t="shared" ca="1" si="8"/>
        <v>138.27982396895092</v>
      </c>
      <c r="L49" s="108">
        <f t="shared" ca="1" si="8"/>
        <v>138.27982396895092</v>
      </c>
      <c r="M49" s="108">
        <f t="shared" ca="1" si="8"/>
        <v>138.27982396895092</v>
      </c>
      <c r="Q49" s="20"/>
    </row>
    <row r="50" spans="2:17" ht="12.75" customHeight="1" x14ac:dyDescent="0.15">
      <c r="B50" s="223" t="str">
        <f>$B$39 &amp; ": " &amp; C50</f>
        <v>Total Cell Materials per Accepted Cell: Total for positive electrode (dry), g/cell</v>
      </c>
      <c r="C50" s="8" t="s">
        <v>1076</v>
      </c>
      <c r="D50" s="8"/>
      <c r="E50" s="8"/>
      <c r="F50" s="66"/>
      <c r="G50" s="108">
        <f t="shared" ref="G50:M50" ca="1" si="9">SUM(G46:G48)</f>
        <v>432.12444990283234</v>
      </c>
      <c r="H50" s="108">
        <f t="shared" ca="1" si="9"/>
        <v>432.12444990283234</v>
      </c>
      <c r="I50" s="108">
        <f t="shared" ca="1" si="9"/>
        <v>432.12444990283234</v>
      </c>
      <c r="J50" s="108">
        <f t="shared" ca="1" si="9"/>
        <v>432.12444990283234</v>
      </c>
      <c r="K50" s="108">
        <f t="shared" ca="1" si="9"/>
        <v>432.12444990283234</v>
      </c>
      <c r="L50" s="108">
        <f t="shared" ca="1" si="9"/>
        <v>432.12444990283234</v>
      </c>
      <c r="M50" s="108">
        <f t="shared" ca="1" si="9"/>
        <v>432.12444990283234</v>
      </c>
    </row>
    <row r="51" spans="2:17" ht="12.75" customHeight="1" x14ac:dyDescent="0.15">
      <c r="B51" s="223"/>
      <c r="C51" s="8"/>
      <c r="D51" s="8"/>
      <c r="E51" s="8"/>
      <c r="F51" s="66"/>
      <c r="G51" s="108"/>
      <c r="H51" s="108"/>
      <c r="I51" s="108"/>
      <c r="J51" s="108"/>
      <c r="K51" s="108"/>
      <c r="L51" s="108"/>
      <c r="M51" s="108"/>
    </row>
    <row r="52" spans="2:17" ht="12.75" customHeight="1" x14ac:dyDescent="0.15">
      <c r="B52" s="507" t="s">
        <v>1077</v>
      </c>
      <c r="C52" s="8"/>
      <c r="D52" s="8"/>
      <c r="E52" s="8"/>
      <c r="F52" s="66">
        <f>'Cost Input'!G13</f>
        <v>94.1</v>
      </c>
      <c r="G52" s="108"/>
      <c r="H52" s="108"/>
      <c r="I52" s="108"/>
      <c r="J52" s="108"/>
      <c r="K52" s="108"/>
      <c r="L52" s="108"/>
      <c r="M52" s="108"/>
    </row>
    <row r="53" spans="2:17" ht="12.75" customHeight="1" x14ac:dyDescent="0.15">
      <c r="B53" s="223" t="str">
        <f t="shared" ref="B53:B68" si="10">$B$39 &amp; ": " &amp; C53</f>
        <v>Total Cell Materials per Accepted Cell: Negative electrode active material, g/cell</v>
      </c>
      <c r="C53" s="8" t="s">
        <v>1078</v>
      </c>
      <c r="D53" s="8"/>
      <c r="E53" s="8"/>
      <c r="F53" s="89"/>
      <c r="G53" s="108">
        <f ca="1">'Battery Design'!G51/$F$52*100/Dashboard!$D$115*100</f>
        <v>240.19893837212666</v>
      </c>
      <c r="H53" s="108">
        <f ca="1">'Battery Design'!H51/$F$52*100/Dashboard!$D$115*100</f>
        <v>240.19893837212666</v>
      </c>
      <c r="I53" s="108">
        <f ca="1">'Battery Design'!I51/$F$52*100/Dashboard!$D$115*100</f>
        <v>240.19893837212666</v>
      </c>
      <c r="J53" s="108">
        <f ca="1">'Battery Design'!J51/$F$52*100/Dashboard!$D$115*100</f>
        <v>240.19893837212666</v>
      </c>
      <c r="K53" s="108">
        <f ca="1">'Battery Design'!K51/$F$52*100/Dashboard!$D$115*100</f>
        <v>240.19893837212666</v>
      </c>
      <c r="L53" s="108">
        <f ca="1">'Battery Design'!L51/$F$52*100/Dashboard!$D$115*100</f>
        <v>240.19893837212666</v>
      </c>
      <c r="M53" s="108">
        <f ca="1">'Battery Design'!M51/$F$52*100/Dashboard!$D$115*100</f>
        <v>240.19893837212666</v>
      </c>
    </row>
    <row r="54" spans="2:17" ht="12.75" customHeight="1" x14ac:dyDescent="0.15">
      <c r="B54" s="223" t="str">
        <f t="shared" si="10"/>
        <v>Total Cell Materials per Accepted Cell: Negative electrode carbon additive, g/cell</v>
      </c>
      <c r="C54" s="8" t="s">
        <v>1079</v>
      </c>
      <c r="D54" s="8"/>
      <c r="E54" s="8"/>
      <c r="F54" s="89"/>
      <c r="G54" s="108">
        <f ca="1">'Battery Design'!G52/$F$52*100/Dashboard!$D$115*100</f>
        <v>5.0041445494209071</v>
      </c>
      <c r="H54" s="108">
        <f ca="1">'Battery Design'!H52/$F$52*100/Dashboard!$D$115*100</f>
        <v>5.0041445494209071</v>
      </c>
      <c r="I54" s="108">
        <f ca="1">'Battery Design'!I52/$F$52*100/Dashboard!$D$115*100</f>
        <v>5.0041445494209071</v>
      </c>
      <c r="J54" s="108">
        <f ca="1">'Battery Design'!J52/$F$52*100/Dashboard!$D$115*100</f>
        <v>5.0041445494209071</v>
      </c>
      <c r="K54" s="108">
        <f ca="1">'Battery Design'!K52/$F$52*100/Dashboard!$D$115*100</f>
        <v>5.0041445494209071</v>
      </c>
      <c r="L54" s="108">
        <f ca="1">'Battery Design'!L52/$F$52*100/Dashboard!$D$115*100</f>
        <v>5.0041445494209071</v>
      </c>
      <c r="M54" s="108">
        <f ca="1">'Battery Design'!M52/$F$52*100/Dashboard!$D$115*100</f>
        <v>5.0041445494209071</v>
      </c>
    </row>
    <row r="55" spans="2:17" ht="12.75" customHeight="1" x14ac:dyDescent="0.15">
      <c r="B55" s="223" t="str">
        <f t="shared" si="10"/>
        <v>Total Cell Materials per Accepted Cell: Negative electrode binder, g/cell</v>
      </c>
      <c r="C55" s="8" t="s">
        <v>328</v>
      </c>
      <c r="D55" s="8"/>
      <c r="E55" s="8"/>
      <c r="F55" s="89"/>
      <c r="G55" s="108">
        <f ca="1">'Battery Design'!G53/$F$52*100/Dashboard!$D$115*100</f>
        <v>5.0041445494209071</v>
      </c>
      <c r="H55" s="108">
        <f ca="1">'Battery Design'!H53/$F$52*100/Dashboard!$D$115*100</f>
        <v>5.0041445494209071</v>
      </c>
      <c r="I55" s="108">
        <f ca="1">'Battery Design'!I53/$F$52*100/Dashboard!$D$115*100</f>
        <v>5.0041445494209071</v>
      </c>
      <c r="J55" s="108">
        <f ca="1">'Battery Design'!J53/$F$52*100/Dashboard!$D$115*100</f>
        <v>5.0041445494209071</v>
      </c>
      <c r="K55" s="108">
        <f ca="1">'Battery Design'!K53/$F$52*100/Dashboard!$D$115*100</f>
        <v>5.0041445494209071</v>
      </c>
      <c r="L55" s="108">
        <f ca="1">'Battery Design'!L53/$F$52*100/Dashboard!$D$115*100</f>
        <v>5.0041445494209071</v>
      </c>
      <c r="M55" s="108">
        <f ca="1">'Battery Design'!M53/$F$52*100/Dashboard!$D$115*100</f>
        <v>5.0041445494209071</v>
      </c>
      <c r="N55" s="140"/>
    </row>
    <row r="56" spans="2:17" ht="12.75" customHeight="1" x14ac:dyDescent="0.15">
      <c r="B56" s="223" t="str">
        <f t="shared" si="10"/>
        <v>Total Cell Materials per Accepted Cell: Negative electrode binder solvent (Water), g/cell</v>
      </c>
      <c r="C56" s="8" t="str">
        <f>"Negative electrode binder solvent (" &amp; Chem!$C$44 &amp; "), g/cell"</f>
        <v>Negative electrode binder solvent (Water), g/cell</v>
      </c>
      <c r="D56" s="8"/>
      <c r="E56" s="8"/>
      <c r="F56" s="89"/>
      <c r="G56" s="108">
        <f t="shared" ref="G56:M56" ca="1" si="11">G42*G55</f>
        <v>200.16578197683629</v>
      </c>
      <c r="H56" s="108">
        <f t="shared" ca="1" si="11"/>
        <v>200.16578197683629</v>
      </c>
      <c r="I56" s="108">
        <f t="shared" ca="1" si="11"/>
        <v>200.16578197683629</v>
      </c>
      <c r="J56" s="108">
        <f t="shared" ca="1" si="11"/>
        <v>200.16578197683629</v>
      </c>
      <c r="K56" s="108">
        <f t="shared" ca="1" si="11"/>
        <v>200.16578197683629</v>
      </c>
      <c r="L56" s="108">
        <f t="shared" ca="1" si="11"/>
        <v>200.16578197683629</v>
      </c>
      <c r="M56" s="108">
        <f t="shared" ca="1" si="11"/>
        <v>200.16578197683629</v>
      </c>
    </row>
    <row r="57" spans="2:17" ht="12.75" customHeight="1" x14ac:dyDescent="0.15">
      <c r="B57" s="223" t="str">
        <f t="shared" si="10"/>
        <v>Total Cell Materials per Accepted Cell: Total for negative electrode (dry), g/cell</v>
      </c>
      <c r="C57" s="8" t="s">
        <v>1080</v>
      </c>
      <c r="D57" s="8"/>
      <c r="E57" s="8"/>
      <c r="F57" s="831"/>
      <c r="G57" s="108">
        <f t="shared" ref="G57:M57" ca="1" si="12">SUM(G53:G55)</f>
        <v>250.20722747096849</v>
      </c>
      <c r="H57" s="108">
        <f t="shared" ca="1" si="12"/>
        <v>250.20722747096849</v>
      </c>
      <c r="I57" s="108">
        <f t="shared" ca="1" si="12"/>
        <v>250.20722747096849</v>
      </c>
      <c r="J57" s="108">
        <f t="shared" ca="1" si="12"/>
        <v>250.20722747096849</v>
      </c>
      <c r="K57" s="108">
        <f t="shared" ca="1" si="12"/>
        <v>250.20722747096849</v>
      </c>
      <c r="L57" s="108">
        <f t="shared" ca="1" si="12"/>
        <v>250.20722747096849</v>
      </c>
      <c r="M57" s="108">
        <f t="shared" ca="1" si="12"/>
        <v>250.20722747096849</v>
      </c>
    </row>
    <row r="58" spans="2:17" ht="12.75" customHeight="1" x14ac:dyDescent="0.15">
      <c r="B58" s="223"/>
      <c r="C58" s="8"/>
      <c r="D58" s="8"/>
      <c r="E58" s="8"/>
      <c r="F58" s="831"/>
      <c r="G58" s="108"/>
      <c r="H58" s="108"/>
      <c r="I58" s="108"/>
      <c r="J58" s="108"/>
      <c r="K58" s="108"/>
      <c r="L58" s="108"/>
      <c r="M58" s="108"/>
    </row>
    <row r="59" spans="2:17" ht="12.75" customHeight="1" x14ac:dyDescent="0.15">
      <c r="B59" s="507" t="s">
        <v>1081</v>
      </c>
      <c r="C59" s="8"/>
      <c r="D59" s="8"/>
      <c r="E59" s="8"/>
      <c r="F59" s="831"/>
      <c r="G59" s="108"/>
      <c r="H59" s="108"/>
      <c r="I59" s="108"/>
      <c r="J59" s="108"/>
      <c r="K59" s="108"/>
      <c r="L59" s="108"/>
      <c r="M59" s="108"/>
    </row>
    <row r="60" spans="2:17" ht="12.75" customHeight="1" x14ac:dyDescent="0.15">
      <c r="B60" s="223"/>
      <c r="C60" s="462" t="str">
        <f>"Positive electrode additve (" &amp; Chem!$C$75&amp; "), g/cell"</f>
        <v>Positive electrode additve (None), g/cell</v>
      </c>
      <c r="D60" s="8"/>
      <c r="E60" s="8"/>
      <c r="F60" s="831">
        <f>F45</f>
        <v>94.1</v>
      </c>
      <c r="G60" s="108">
        <f ca="1">'Battery Design'!G58/Dashboard!$D$115*100/$F60*100</f>
        <v>0</v>
      </c>
      <c r="H60" s="108">
        <f ca="1">'Battery Design'!H58/Dashboard!$D$115*100/$F60*100</f>
        <v>0</v>
      </c>
      <c r="I60" s="108">
        <f ca="1">'Battery Design'!I58/Dashboard!$D$115*100/$F60*100</f>
        <v>0</v>
      </c>
      <c r="J60" s="108">
        <f ca="1">'Battery Design'!J58/Dashboard!$D$115*100/$F60*100</f>
        <v>0</v>
      </c>
      <c r="K60" s="108">
        <f ca="1">'Battery Design'!K58/Dashboard!$D$115*100/$F60*100</f>
        <v>0</v>
      </c>
      <c r="L60" s="108">
        <f ca="1">'Battery Design'!L58/Dashboard!$D$115*100/$F60*100</f>
        <v>0</v>
      </c>
      <c r="M60" s="108">
        <f ca="1">'Battery Design'!M58/Dashboard!$D$115*100/$F60*100</f>
        <v>0</v>
      </c>
    </row>
    <row r="61" spans="2:17" ht="12.75" customHeight="1" x14ac:dyDescent="0.15">
      <c r="B61" s="223"/>
      <c r="C61" s="462" t="str">
        <f>"Negative electrode additve (" &amp; Chem!$C$81&amp; "), g/cell"</f>
        <v>Negative electrode additve (None), g/cell</v>
      </c>
      <c r="D61" s="8"/>
      <c r="E61" s="8"/>
      <c r="F61" s="831">
        <f>F52</f>
        <v>94.1</v>
      </c>
      <c r="G61" s="108">
        <f ca="1">'Battery Design'!G59/Dashboard!$D$115*100/$F61*100</f>
        <v>0</v>
      </c>
      <c r="H61" s="108">
        <f ca="1">'Battery Design'!H59/Dashboard!$D$115*100/$F61*100</f>
        <v>0</v>
      </c>
      <c r="I61" s="108">
        <f ca="1">'Battery Design'!I59/Dashboard!$D$115*100/$F61*100</f>
        <v>0</v>
      </c>
      <c r="J61" s="108">
        <f ca="1">'Battery Design'!J59/Dashboard!$D$115*100/$F61*100</f>
        <v>0</v>
      </c>
      <c r="K61" s="108">
        <f ca="1">'Battery Design'!K59/Dashboard!$D$115*100/$F61*100</f>
        <v>0</v>
      </c>
      <c r="L61" s="108">
        <f ca="1">'Battery Design'!L59/Dashboard!$D$115*100/$F61*100</f>
        <v>0</v>
      </c>
      <c r="M61" s="108">
        <f ca="1">'Battery Design'!M59/Dashboard!$D$115*100/$F61*100</f>
        <v>0</v>
      </c>
    </row>
    <row r="62" spans="2:17" ht="12.75" customHeight="1" x14ac:dyDescent="0.15">
      <c r="B62" s="223"/>
      <c r="C62" s="462" t="str">
        <f>"Electrolyte additve (" &amp; Chem!$C$87&amp; "), g/cell"</f>
        <v>Electrolyte additve (None), g/cell</v>
      </c>
      <c r="D62" s="8"/>
      <c r="E62" s="8"/>
      <c r="F62" s="831">
        <f>F68</f>
        <v>99</v>
      </c>
      <c r="G62" s="108">
        <f ca="1">'Battery Design'!G60/Dashboard!$D$115*100/$F62*100</f>
        <v>0</v>
      </c>
      <c r="H62" s="108">
        <f ca="1">'Battery Design'!H60/Dashboard!$D$115*100/$F62*100</f>
        <v>0</v>
      </c>
      <c r="I62" s="108">
        <f ca="1">'Battery Design'!I60/Dashboard!$D$115*100/$F62*100</f>
        <v>0</v>
      </c>
      <c r="J62" s="108">
        <f ca="1">'Battery Design'!J60/Dashboard!$D$115*100/$F62*100</f>
        <v>0</v>
      </c>
      <c r="K62" s="108">
        <f ca="1">'Battery Design'!K60/Dashboard!$D$115*100/$F62*100</f>
        <v>0</v>
      </c>
      <c r="L62" s="108">
        <f ca="1">'Battery Design'!L60/Dashboard!$D$115*100/$F62*100</f>
        <v>0</v>
      </c>
      <c r="M62" s="108">
        <f ca="1">'Battery Design'!M60/Dashboard!$D$115*100/$F62*100</f>
        <v>0</v>
      </c>
    </row>
    <row r="63" spans="2:17" ht="12.75" customHeight="1" x14ac:dyDescent="0.15">
      <c r="B63" s="223"/>
      <c r="C63" s="8"/>
      <c r="D63" s="8"/>
      <c r="E63" s="8"/>
      <c r="F63" s="831"/>
      <c r="G63" s="108"/>
      <c r="H63" s="108"/>
      <c r="I63" s="108"/>
      <c r="J63" s="108"/>
      <c r="K63" s="108"/>
      <c r="L63" s="108"/>
      <c r="M63" s="108"/>
    </row>
    <row r="64" spans="2:17" ht="12.75" customHeight="1" x14ac:dyDescent="0.15">
      <c r="B64" s="507" t="s">
        <v>932</v>
      </c>
      <c r="C64" s="8"/>
      <c r="D64" s="8"/>
      <c r="E64" s="8"/>
      <c r="F64" s="831"/>
      <c r="G64" s="108"/>
      <c r="H64" s="108"/>
      <c r="I64" s="108"/>
      <c r="J64" s="108"/>
      <c r="K64" s="108"/>
      <c r="L64" s="108"/>
      <c r="M64" s="108"/>
    </row>
    <row r="65" spans="2:17" ht="12.75" customHeight="1" x14ac:dyDescent="0.2">
      <c r="B65" s="223" t="str">
        <f t="shared" si="10"/>
        <v>Total Cell Materials per Accepted Cell: Positive current collector, m²/cell</v>
      </c>
      <c r="C65" s="8" t="s">
        <v>2412</v>
      </c>
      <c r="D65" s="8"/>
      <c r="E65" s="8"/>
      <c r="F65" s="831">
        <f>'Cost Input'!G14</f>
        <v>88.3</v>
      </c>
      <c r="G65" s="109">
        <f ca="1">'Battery Design'!G63/$F65*100/Dashboard!$D$115*100</f>
        <v>0.76881656743934612</v>
      </c>
      <c r="H65" s="109">
        <f ca="1">'Battery Design'!H63/$F65*100/Dashboard!$D$115*100</f>
        <v>0.76881656743934612</v>
      </c>
      <c r="I65" s="109">
        <f ca="1">'Battery Design'!I63/$F65*100/Dashboard!$D$115*100</f>
        <v>0.76881656743934612</v>
      </c>
      <c r="J65" s="109">
        <f ca="1">'Battery Design'!J63/$F65*100/Dashboard!$D$115*100</f>
        <v>0.76881656743934612</v>
      </c>
      <c r="K65" s="109">
        <f ca="1">'Battery Design'!K63/$F65*100/Dashboard!$D$115*100</f>
        <v>0.76881656743934612</v>
      </c>
      <c r="L65" s="109">
        <f ca="1">'Battery Design'!L63/$F65*100/Dashboard!$D$115*100</f>
        <v>0.76881656743934612</v>
      </c>
      <c r="M65" s="109">
        <f ca="1">'Battery Design'!M63/$F65*100/Dashboard!$D$115*100</f>
        <v>0.76881656743934612</v>
      </c>
    </row>
    <row r="66" spans="2:17" ht="12.75" customHeight="1" x14ac:dyDescent="0.2">
      <c r="B66" s="223" t="str">
        <f t="shared" si="10"/>
        <v>Total Cell Materials per Accepted Cell: Negative current collector, m²/cell</v>
      </c>
      <c r="C66" s="8" t="s">
        <v>2413</v>
      </c>
      <c r="D66" s="8"/>
      <c r="E66" s="8"/>
      <c r="F66" s="831">
        <f>'Cost Input'!G15</f>
        <v>88.3</v>
      </c>
      <c r="G66" s="109">
        <f ca="1">'Battery Design'!G64/$F66*100/Dashboard!$D$115*100</f>
        <v>0.81560873532243205</v>
      </c>
      <c r="H66" s="109">
        <f ca="1">'Battery Design'!H64/$F66*100/Dashboard!$D$115*100</f>
        <v>0.81560873532243205</v>
      </c>
      <c r="I66" s="109">
        <f ca="1">'Battery Design'!I64/$F66*100/Dashboard!$D$115*100</f>
        <v>0.81560873532243205</v>
      </c>
      <c r="J66" s="109">
        <f ca="1">'Battery Design'!J64/$F66*100/Dashboard!$D$115*100</f>
        <v>0.81560873532243205</v>
      </c>
      <c r="K66" s="109">
        <f ca="1">'Battery Design'!K64/$F66*100/Dashboard!$D$115*100</f>
        <v>0.81560873532243205</v>
      </c>
      <c r="L66" s="109">
        <f ca="1">'Battery Design'!L64/$F66*100/Dashboard!$D$115*100</f>
        <v>0.81560873532243205</v>
      </c>
      <c r="M66" s="109">
        <f ca="1">'Battery Design'!M64/$F66*100/Dashboard!$D$115*100</f>
        <v>0.81560873532243205</v>
      </c>
    </row>
    <row r="67" spans="2:17" ht="12.75" customHeight="1" x14ac:dyDescent="0.2">
      <c r="B67" s="223" t="str">
        <f t="shared" si="10"/>
        <v>Total Cell Materials per Accepted Cell: Separators, m²/cell</v>
      </c>
      <c r="C67" s="8" t="s">
        <v>2414</v>
      </c>
      <c r="D67" s="8"/>
      <c r="E67" s="8"/>
      <c r="F67" s="831">
        <f>'Cost Input'!G16</f>
        <v>99</v>
      </c>
      <c r="G67" s="109">
        <f ca="1">'Battery Design'!G65/$F67*100/Dashboard!$D$115*100</f>
        <v>1.2946372962331101</v>
      </c>
      <c r="H67" s="109">
        <f ca="1">'Battery Design'!H65/$F67*100/Dashboard!$D$115*100</f>
        <v>1.2946372962331101</v>
      </c>
      <c r="I67" s="109">
        <f ca="1">'Battery Design'!I65/$F67*100/Dashboard!$D$115*100</f>
        <v>1.2946372962331101</v>
      </c>
      <c r="J67" s="109">
        <f ca="1">'Battery Design'!J65/$F67*100/Dashboard!$D$115*100</f>
        <v>1.2946372962331101</v>
      </c>
      <c r="K67" s="109">
        <f ca="1">'Battery Design'!K65/$F67*100/Dashboard!$D$115*100</f>
        <v>1.2946372962331101</v>
      </c>
      <c r="L67" s="109">
        <f ca="1">'Battery Design'!L65/$F67*100/Dashboard!$D$115*100</f>
        <v>1.2946372962331101</v>
      </c>
      <c r="M67" s="109">
        <f ca="1">'Battery Design'!M65/$F67*100/Dashboard!$D$115*100</f>
        <v>1.2946372962331101</v>
      </c>
    </row>
    <row r="68" spans="2:17" ht="12.75" customHeight="1" x14ac:dyDescent="0.15">
      <c r="B68" s="223" t="str">
        <f t="shared" si="10"/>
        <v>Total Cell Materials per Accepted Cell: Electrolyte, L/cell</v>
      </c>
      <c r="C68" s="8" t="s">
        <v>2415</v>
      </c>
      <c r="D68" s="8"/>
      <c r="E68" s="8"/>
      <c r="F68" s="831">
        <f>'Cost Input'!G17</f>
        <v>99</v>
      </c>
      <c r="G68" s="109">
        <f ca="1">'Battery Design'!G66/$F68*100/Dashboard!$D$115*100</f>
        <v>0.12763055000991921</v>
      </c>
      <c r="H68" s="109">
        <f ca="1">'Battery Design'!H66/$F68*100/Dashboard!$D$115*100</f>
        <v>0.12763055000991921</v>
      </c>
      <c r="I68" s="109">
        <f ca="1">'Battery Design'!I66/$F68*100/Dashboard!$D$115*100</f>
        <v>0.12763055000991921</v>
      </c>
      <c r="J68" s="109">
        <f ca="1">'Battery Design'!J66/$F68*100/Dashboard!$D$115*100</f>
        <v>0.12763055000991921</v>
      </c>
      <c r="K68" s="109">
        <f ca="1">'Battery Design'!K66/$F68*100/Dashboard!$D$115*100</f>
        <v>0.12763055000991921</v>
      </c>
      <c r="L68" s="109">
        <f ca="1">'Battery Design'!L66/$F68*100/Dashboard!$D$115*100</f>
        <v>0.12763055000991921</v>
      </c>
      <c r="M68" s="109">
        <f ca="1">'Battery Design'!M66/$F68*100/Dashboard!$D$115*100</f>
        <v>0.12763055000991921</v>
      </c>
    </row>
    <row r="69" spans="2:17" ht="12.75" customHeight="1" x14ac:dyDescent="0.15">
      <c r="B69" s="223"/>
      <c r="C69" s="8"/>
      <c r="D69" s="8"/>
      <c r="E69" s="8"/>
      <c r="F69" s="831"/>
      <c r="G69" s="109"/>
      <c r="H69" s="109"/>
      <c r="I69" s="109"/>
      <c r="J69" s="109"/>
      <c r="K69" s="109"/>
      <c r="L69" s="109"/>
      <c r="M69" s="109"/>
    </row>
    <row r="70" spans="2:17" ht="16" x14ac:dyDescent="0.2">
      <c r="B70" s="5" t="s">
        <v>1082</v>
      </c>
      <c r="C70" s="26"/>
      <c r="D70" s="26"/>
      <c r="E70" s="46"/>
      <c r="F70" s="353"/>
      <c r="G70" s="78"/>
      <c r="H70" s="78"/>
      <c r="I70" s="78"/>
      <c r="J70" s="78"/>
      <c r="K70" s="78"/>
      <c r="L70" s="78"/>
      <c r="M70" s="78"/>
      <c r="N70" s="8"/>
    </row>
    <row r="71" spans="2:17" ht="12.75" customHeight="1" x14ac:dyDescent="0.15">
      <c r="B71" s="507" t="s">
        <v>1083</v>
      </c>
      <c r="C71" s="26"/>
      <c r="D71" s="8"/>
      <c r="E71" s="46"/>
      <c r="F71" s="353"/>
      <c r="G71" s="78"/>
      <c r="H71" s="78"/>
      <c r="I71" s="78"/>
      <c r="J71" s="78"/>
      <c r="K71" s="78"/>
      <c r="L71" s="78"/>
      <c r="M71" s="78"/>
      <c r="N71" s="8"/>
      <c r="Q71" s="110"/>
    </row>
    <row r="72" spans="2:17" ht="12.75" customHeight="1" x14ac:dyDescent="0.15">
      <c r="B72" s="223" t="str">
        <f>$B$70 &amp; ": " &amp; C72</f>
        <v>Annual Cell Materials Rates: Positive electrode active material, kg/yr</v>
      </c>
      <c r="C72" s="8" t="s">
        <v>1084</v>
      </c>
      <c r="D72" s="8"/>
      <c r="E72" s="8"/>
      <c r="F72" s="353"/>
      <c r="G72" s="110">
        <f ca="1">G46*G$15/1000</f>
        <v>85515154.296558738</v>
      </c>
      <c r="H72" s="110">
        <f t="shared" ref="H72:M72" ca="1" si="13">H46*H$15/1000</f>
        <v>85515154.296558738</v>
      </c>
      <c r="I72" s="110">
        <f t="shared" ca="1" si="13"/>
        <v>85515154.296558738</v>
      </c>
      <c r="J72" s="110">
        <f t="shared" ca="1" si="13"/>
        <v>85515154.296558738</v>
      </c>
      <c r="K72" s="110">
        <f t="shared" ca="1" si="13"/>
        <v>85515154.296558738</v>
      </c>
      <c r="L72" s="110">
        <f t="shared" ca="1" si="13"/>
        <v>85515154.296558738</v>
      </c>
      <c r="M72" s="110">
        <f t="shared" ca="1" si="13"/>
        <v>85515154.296558738</v>
      </c>
      <c r="N72" s="8"/>
      <c r="O72" s="8"/>
      <c r="Q72" s="110"/>
    </row>
    <row r="73" spans="2:17" ht="12.75" customHeight="1" x14ac:dyDescent="0.15">
      <c r="B73" s="223" t="str">
        <f>$B$70 &amp; ": " &amp; C73</f>
        <v>Annual Cell Materials Rates: Positive electrode carbon additive, kg/yr</v>
      </c>
      <c r="C73" s="8" t="s">
        <v>1085</v>
      </c>
      <c r="D73" s="8"/>
      <c r="E73" s="8"/>
      <c r="F73" s="353"/>
      <c r="G73" s="110">
        <f t="shared" ref="G73:M74" ca="1" si="14">G47*G$15/1000</f>
        <v>3638942.7360250237</v>
      </c>
      <c r="H73" s="110">
        <f t="shared" ca="1" si="14"/>
        <v>3638942.7360250237</v>
      </c>
      <c r="I73" s="110">
        <f t="shared" ca="1" si="14"/>
        <v>3638942.7360250237</v>
      </c>
      <c r="J73" s="110">
        <f t="shared" ca="1" si="14"/>
        <v>3638942.7360250237</v>
      </c>
      <c r="K73" s="110">
        <f t="shared" ca="1" si="14"/>
        <v>3638942.7360250237</v>
      </c>
      <c r="L73" s="110">
        <f t="shared" ca="1" si="14"/>
        <v>3638942.7360250237</v>
      </c>
      <c r="M73" s="110">
        <f t="shared" ca="1" si="14"/>
        <v>3638942.7360250237</v>
      </c>
      <c r="N73" s="8"/>
      <c r="O73" s="8"/>
      <c r="Q73" s="110"/>
    </row>
    <row r="74" spans="2:17" ht="12.75" customHeight="1" x14ac:dyDescent="0.15">
      <c r="B74" s="223" t="str">
        <f>$B$70 &amp; ": " &amp; C74</f>
        <v>Annual Cell Materials Rates: Positive electrode binder, kg/yr</v>
      </c>
      <c r="C74" s="8" t="s">
        <v>1086</v>
      </c>
      <c r="D74" s="8"/>
      <c r="E74" s="8"/>
      <c r="F74" s="353"/>
      <c r="G74" s="110">
        <f t="shared" ca="1" si="14"/>
        <v>1819471.3680125119</v>
      </c>
      <c r="H74" s="110">
        <f t="shared" ca="1" si="14"/>
        <v>1819471.3680125119</v>
      </c>
      <c r="I74" s="110">
        <f t="shared" ca="1" si="14"/>
        <v>1819471.3680125119</v>
      </c>
      <c r="J74" s="110">
        <f t="shared" ca="1" si="14"/>
        <v>1819471.3680125119</v>
      </c>
      <c r="K74" s="110">
        <f t="shared" ca="1" si="14"/>
        <v>1819471.3680125119</v>
      </c>
      <c r="L74" s="110">
        <f t="shared" ca="1" si="14"/>
        <v>1819471.3680125119</v>
      </c>
      <c r="M74" s="110">
        <f t="shared" ca="1" si="14"/>
        <v>1819471.3680125119</v>
      </c>
      <c r="N74" s="8"/>
      <c r="O74" s="8"/>
      <c r="Q74" s="110"/>
    </row>
    <row r="75" spans="2:17" ht="12.75" customHeight="1" x14ac:dyDescent="0.15">
      <c r="B75" s="223" t="str">
        <f>$B$70 &amp; ": " &amp; C75</f>
        <v>Annual Cell Materials Rates: Positive electrode binder solvent, kg/yr</v>
      </c>
      <c r="C75" s="8" t="s">
        <v>1087</v>
      </c>
      <c r="D75" s="8"/>
      <c r="E75" s="8"/>
      <c r="F75" s="353">
        <f>IF(Chem!$C$14  = "NMP", 'Cost Input'!$G$18,0)</f>
        <v>99.5</v>
      </c>
      <c r="G75" s="110">
        <f ca="1">G49*G$15/1000*(1-$F75/100*$F$60/100)</f>
        <v>1854550.7759877967</v>
      </c>
      <c r="H75" s="110">
        <f t="shared" ref="H75:M75" ca="1" si="15">H49*H$15/1000*(1-$F75/100*$F$60/100)</f>
        <v>1854550.7759877967</v>
      </c>
      <c r="I75" s="110">
        <f t="shared" ca="1" si="15"/>
        <v>1854550.7759877967</v>
      </c>
      <c r="J75" s="110">
        <f t="shared" ca="1" si="15"/>
        <v>1854550.7759877967</v>
      </c>
      <c r="K75" s="110">
        <f t="shared" ca="1" si="15"/>
        <v>1854550.7759877967</v>
      </c>
      <c r="L75" s="110">
        <f t="shared" ca="1" si="15"/>
        <v>1854550.7759877967</v>
      </c>
      <c r="M75" s="110">
        <f t="shared" ca="1" si="15"/>
        <v>1854550.7759877967</v>
      </c>
      <c r="N75" s="8"/>
      <c r="O75" s="8"/>
      <c r="Q75" s="110"/>
    </row>
    <row r="76" spans="2:17" ht="12.75" customHeight="1" x14ac:dyDescent="0.15">
      <c r="B76" s="223"/>
      <c r="C76" s="8"/>
      <c r="D76" s="8"/>
      <c r="E76" s="8"/>
      <c r="F76" s="353"/>
      <c r="G76" s="110"/>
      <c r="H76" s="110"/>
      <c r="I76" s="110"/>
      <c r="J76" s="110"/>
      <c r="K76" s="110"/>
      <c r="L76" s="110"/>
      <c r="M76" s="110"/>
      <c r="N76" s="8"/>
      <c r="Q76" s="110"/>
    </row>
    <row r="77" spans="2:17" ht="12.75" customHeight="1" x14ac:dyDescent="0.15">
      <c r="B77" s="507" t="s">
        <v>1088</v>
      </c>
      <c r="C77" s="26"/>
      <c r="D77" s="8"/>
      <c r="E77" s="8"/>
      <c r="F77" s="353"/>
      <c r="G77" s="110"/>
      <c r="H77" s="110"/>
      <c r="I77" s="110"/>
      <c r="J77" s="110"/>
      <c r="K77" s="110"/>
      <c r="L77" s="110"/>
      <c r="M77" s="110"/>
      <c r="N77" s="8"/>
      <c r="Q77" s="110"/>
    </row>
    <row r="78" spans="2:17" ht="12.75" customHeight="1" x14ac:dyDescent="0.15">
      <c r="B78" s="223" t="str">
        <f>$B$70 &amp; ": " &amp; C78</f>
        <v>Annual Cell Materials Rates: Negative electrode active material, kg/yr</v>
      </c>
      <c r="C78" s="8" t="s">
        <v>1089</v>
      </c>
      <c r="D78" s="8"/>
      <c r="E78" s="8"/>
      <c r="F78" s="353"/>
      <c r="G78" s="110">
        <f ca="1">G53*G$15/1000</f>
        <v>50568197.552026659</v>
      </c>
      <c r="H78" s="110">
        <f t="shared" ref="H78:M78" ca="1" si="16">H53*H$15/1000</f>
        <v>50568197.552026659</v>
      </c>
      <c r="I78" s="110">
        <f t="shared" ca="1" si="16"/>
        <v>50568197.552026659</v>
      </c>
      <c r="J78" s="110">
        <f t="shared" ca="1" si="16"/>
        <v>50568197.552026659</v>
      </c>
      <c r="K78" s="110">
        <f t="shared" ca="1" si="16"/>
        <v>50568197.552026659</v>
      </c>
      <c r="L78" s="110">
        <f t="shared" ca="1" si="16"/>
        <v>50568197.552026659</v>
      </c>
      <c r="M78" s="110">
        <f t="shared" ca="1" si="16"/>
        <v>50568197.552026659</v>
      </c>
      <c r="N78" s="8"/>
      <c r="O78" s="8"/>
      <c r="Q78" s="110"/>
    </row>
    <row r="79" spans="2:17" ht="12.75" customHeight="1" x14ac:dyDescent="0.15">
      <c r="B79" s="223" t="str">
        <f>$B$70 &amp; ": " &amp; C79</f>
        <v>Annual Cell Materials Rates: Negative electrode conductive additive, kg/yr</v>
      </c>
      <c r="C79" s="8" t="s">
        <v>1090</v>
      </c>
      <c r="D79" s="8"/>
      <c r="E79" s="8"/>
      <c r="F79" s="508"/>
      <c r="G79" s="110">
        <f t="shared" ref="G79:M80" ca="1" si="17">G54*G$15/1000</f>
        <v>1053504.1156675592</v>
      </c>
      <c r="H79" s="110">
        <f t="shared" ca="1" si="17"/>
        <v>1053504.1156675592</v>
      </c>
      <c r="I79" s="110">
        <f t="shared" ca="1" si="17"/>
        <v>1053504.1156675592</v>
      </c>
      <c r="J79" s="110">
        <f t="shared" ca="1" si="17"/>
        <v>1053504.1156675592</v>
      </c>
      <c r="K79" s="110">
        <f t="shared" ca="1" si="17"/>
        <v>1053504.1156675592</v>
      </c>
      <c r="L79" s="110">
        <f t="shared" ca="1" si="17"/>
        <v>1053504.1156675592</v>
      </c>
      <c r="M79" s="110">
        <f t="shared" ca="1" si="17"/>
        <v>1053504.1156675592</v>
      </c>
      <c r="N79" s="8"/>
      <c r="O79" s="8"/>
      <c r="Q79" s="110"/>
    </row>
    <row r="80" spans="2:17" ht="12.75" customHeight="1" x14ac:dyDescent="0.15">
      <c r="B80" s="223" t="str">
        <f>$B$70 &amp; ": " &amp; C80</f>
        <v>Annual Cell Materials Rates: Negative electrode binder, kg/yr</v>
      </c>
      <c r="C80" s="8" t="s">
        <v>1091</v>
      </c>
      <c r="D80" s="8"/>
      <c r="E80" s="8"/>
      <c r="F80" s="353"/>
      <c r="G80" s="110">
        <f t="shared" ca="1" si="17"/>
        <v>1053504.1156675592</v>
      </c>
      <c r="H80" s="110">
        <f t="shared" ca="1" si="17"/>
        <v>1053504.1156675592</v>
      </c>
      <c r="I80" s="110">
        <f t="shared" ca="1" si="17"/>
        <v>1053504.1156675592</v>
      </c>
      <c r="J80" s="110">
        <f t="shared" ca="1" si="17"/>
        <v>1053504.1156675592</v>
      </c>
      <c r="K80" s="110">
        <f t="shared" ca="1" si="17"/>
        <v>1053504.1156675592</v>
      </c>
      <c r="L80" s="110">
        <f t="shared" ca="1" si="17"/>
        <v>1053504.1156675592</v>
      </c>
      <c r="M80" s="110">
        <f t="shared" ca="1" si="17"/>
        <v>1053504.1156675592</v>
      </c>
      <c r="N80" s="8"/>
      <c r="O80" s="8"/>
      <c r="Q80" s="110"/>
    </row>
    <row r="81" spans="2:17" ht="12.75" customHeight="1" x14ac:dyDescent="0.15">
      <c r="B81" s="223" t="str">
        <f>$B$70 &amp; ": " &amp; C81</f>
        <v>Annual Cell Materials Rates: Negative electrode binder solvent, kg/yr</v>
      </c>
      <c r="C81" s="8" t="s">
        <v>1092</v>
      </c>
      <c r="D81" s="8"/>
      <c r="E81" s="8"/>
      <c r="F81" s="353">
        <f>IF(Chem!$C$44  = "NMP", 'Cost Input'!$G$18,0)</f>
        <v>0</v>
      </c>
      <c r="G81" s="110">
        <f ca="1">G56*G$15/1000*(1-$F81/100)</f>
        <v>42140164.626702368</v>
      </c>
      <c r="H81" s="110">
        <f t="shared" ref="H81:M81" ca="1" si="18">H56*H$15/1000*(1-$F81/100)</f>
        <v>42140164.626702368</v>
      </c>
      <c r="I81" s="110">
        <f t="shared" ca="1" si="18"/>
        <v>42140164.626702368</v>
      </c>
      <c r="J81" s="110">
        <f t="shared" ca="1" si="18"/>
        <v>42140164.626702368</v>
      </c>
      <c r="K81" s="110">
        <f t="shared" ca="1" si="18"/>
        <v>42140164.626702368</v>
      </c>
      <c r="L81" s="110">
        <f t="shared" ca="1" si="18"/>
        <v>42140164.626702368</v>
      </c>
      <c r="M81" s="110">
        <f t="shared" ca="1" si="18"/>
        <v>42140164.626702368</v>
      </c>
      <c r="N81" s="8"/>
      <c r="O81" s="8"/>
      <c r="Q81" s="110"/>
    </row>
    <row r="82" spans="2:17" ht="12.75" customHeight="1" x14ac:dyDescent="0.15">
      <c r="B82" s="223"/>
      <c r="C82" s="8"/>
      <c r="D82" s="8"/>
      <c r="E82" s="8"/>
      <c r="F82" s="353"/>
      <c r="G82" s="110"/>
      <c r="H82" s="110"/>
      <c r="I82" s="110"/>
      <c r="J82" s="110"/>
      <c r="K82" s="110"/>
      <c r="L82" s="110"/>
      <c r="M82" s="110"/>
      <c r="N82" s="8"/>
      <c r="Q82" s="110"/>
    </row>
    <row r="83" spans="2:17" ht="12.75" customHeight="1" x14ac:dyDescent="0.15">
      <c r="B83" s="507" t="s">
        <v>1093</v>
      </c>
      <c r="C83" s="8"/>
      <c r="D83" s="8"/>
      <c r="E83" s="8"/>
      <c r="F83" s="353"/>
      <c r="G83" s="110"/>
      <c r="H83" s="110"/>
      <c r="I83" s="110"/>
      <c r="J83" s="110"/>
      <c r="K83" s="110"/>
      <c r="L83" s="110"/>
      <c r="M83" s="110"/>
      <c r="N83" s="8"/>
      <c r="Q83" s="110"/>
    </row>
    <row r="84" spans="2:17" ht="12.75" customHeight="1" x14ac:dyDescent="0.15">
      <c r="B84" s="223"/>
      <c r="C84" s="462" t="str">
        <f>"Positive electrode additve (" &amp; Chem!$C$75&amp; "), kg/yr"</f>
        <v>Positive electrode additve (None), kg/yr</v>
      </c>
      <c r="D84" s="8"/>
      <c r="E84" s="8"/>
      <c r="F84" s="8"/>
      <c r="G84" s="110">
        <f ca="1">G60*G$15/1000</f>
        <v>0</v>
      </c>
      <c r="H84" s="110">
        <f t="shared" ref="H84:N84" ca="1" si="19">H60*H$15/1000</f>
        <v>0</v>
      </c>
      <c r="I84" s="110">
        <f t="shared" ca="1" si="19"/>
        <v>0</v>
      </c>
      <c r="J84" s="110">
        <f t="shared" ca="1" si="19"/>
        <v>0</v>
      </c>
      <c r="K84" s="110">
        <f t="shared" ca="1" si="19"/>
        <v>0</v>
      </c>
      <c r="L84" s="110">
        <f t="shared" ca="1" si="19"/>
        <v>0</v>
      </c>
      <c r="M84" s="110">
        <f t="shared" ca="1" si="19"/>
        <v>0</v>
      </c>
      <c r="N84" s="110">
        <f t="shared" si="19"/>
        <v>0</v>
      </c>
      <c r="O84" s="8"/>
      <c r="Q84" s="110"/>
    </row>
    <row r="85" spans="2:17" ht="12.75" customHeight="1" x14ac:dyDescent="0.15">
      <c r="B85" s="223"/>
      <c r="C85" s="462" t="str">
        <f>"Negative electrode additve (" &amp; Chem!$C$81&amp; "), kg/yr"</f>
        <v>Negative electrode additve (None), kg/yr</v>
      </c>
      <c r="D85" s="8"/>
      <c r="E85" s="8"/>
      <c r="F85" s="8"/>
      <c r="G85" s="110">
        <f t="shared" ref="G85:N86" ca="1" si="20">G61*G$15/1000</f>
        <v>0</v>
      </c>
      <c r="H85" s="110">
        <f t="shared" ca="1" si="20"/>
        <v>0</v>
      </c>
      <c r="I85" s="110">
        <f t="shared" ca="1" si="20"/>
        <v>0</v>
      </c>
      <c r="J85" s="110">
        <f t="shared" ca="1" si="20"/>
        <v>0</v>
      </c>
      <c r="K85" s="110">
        <f t="shared" ca="1" si="20"/>
        <v>0</v>
      </c>
      <c r="L85" s="110">
        <f t="shared" ca="1" si="20"/>
        <v>0</v>
      </c>
      <c r="M85" s="110">
        <f t="shared" ca="1" si="20"/>
        <v>0</v>
      </c>
      <c r="N85" s="110">
        <f t="shared" si="20"/>
        <v>0</v>
      </c>
      <c r="O85" s="8"/>
      <c r="Q85" s="110"/>
    </row>
    <row r="86" spans="2:17" ht="12.75" customHeight="1" x14ac:dyDescent="0.15">
      <c r="B86" s="223"/>
      <c r="C86" s="462" t="str">
        <f>"Electrolyte additve (" &amp; Chem!$C$87&amp; "), kg/yr"</f>
        <v>Electrolyte additve (None), kg/yr</v>
      </c>
      <c r="D86" s="8"/>
      <c r="E86" s="8"/>
      <c r="F86" s="8"/>
      <c r="G86" s="110">
        <f t="shared" ca="1" si="20"/>
        <v>0</v>
      </c>
      <c r="H86" s="110">
        <f t="shared" ca="1" si="20"/>
        <v>0</v>
      </c>
      <c r="I86" s="110">
        <f t="shared" ca="1" si="20"/>
        <v>0</v>
      </c>
      <c r="J86" s="110">
        <f t="shared" ca="1" si="20"/>
        <v>0</v>
      </c>
      <c r="K86" s="110">
        <f t="shared" ca="1" si="20"/>
        <v>0</v>
      </c>
      <c r="L86" s="110">
        <f t="shared" ca="1" si="20"/>
        <v>0</v>
      </c>
      <c r="M86" s="110">
        <f t="shared" ca="1" si="20"/>
        <v>0</v>
      </c>
      <c r="N86" s="110">
        <f t="shared" si="20"/>
        <v>0</v>
      </c>
      <c r="O86" s="8"/>
      <c r="Q86" s="110"/>
    </row>
    <row r="87" spans="2:17" ht="12.75" customHeight="1" x14ac:dyDescent="0.15">
      <c r="B87" s="223"/>
      <c r="C87" s="8"/>
      <c r="D87" s="8"/>
      <c r="E87" s="8"/>
      <c r="F87" s="8"/>
      <c r="G87" s="110"/>
      <c r="H87" s="110"/>
      <c r="I87" s="110"/>
      <c r="J87" s="110"/>
      <c r="K87" s="110"/>
      <c r="L87" s="110"/>
      <c r="M87" s="110"/>
      <c r="N87" s="8"/>
      <c r="O87" s="8"/>
      <c r="Q87" s="110"/>
    </row>
    <row r="88" spans="2:17" ht="12.75" customHeight="1" x14ac:dyDescent="0.15">
      <c r="B88" s="507" t="s">
        <v>932</v>
      </c>
      <c r="C88" s="8"/>
      <c r="D88" s="8"/>
      <c r="E88" s="8"/>
      <c r="F88" s="8"/>
      <c r="G88" s="110"/>
      <c r="H88" s="110"/>
      <c r="I88" s="110"/>
      <c r="J88" s="110"/>
      <c r="K88" s="110"/>
      <c r="L88" s="110"/>
      <c r="M88" s="110"/>
      <c r="N88" s="8"/>
      <c r="Q88" s="110"/>
    </row>
    <row r="89" spans="2:17" ht="12.75" customHeight="1" x14ac:dyDescent="0.2">
      <c r="B89" s="223" t="str">
        <f t="shared" ref="B89:B98" si="21">$B$70 &amp; ": " &amp; C89</f>
        <v>Annual Cell Materials Rates: Positive current collector, m²/yr</v>
      </c>
      <c r="C89" s="8" t="s">
        <v>2416</v>
      </c>
      <c r="D89" s="8"/>
      <c r="E89" s="8"/>
      <c r="F89" s="8"/>
      <c r="G89" s="110">
        <f ca="1">G65*G$15</f>
        <v>161856119.46091494</v>
      </c>
      <c r="H89" s="110">
        <f t="shared" ref="H89:M89" ca="1" si="22">H65*H$15</f>
        <v>161856119.46091494</v>
      </c>
      <c r="I89" s="110">
        <f t="shared" ca="1" si="22"/>
        <v>161856119.46091494</v>
      </c>
      <c r="J89" s="110">
        <f t="shared" ca="1" si="22"/>
        <v>161856119.46091494</v>
      </c>
      <c r="K89" s="110">
        <f t="shared" ca="1" si="22"/>
        <v>161856119.46091494</v>
      </c>
      <c r="L89" s="110">
        <f t="shared" ca="1" si="22"/>
        <v>161856119.46091494</v>
      </c>
      <c r="M89" s="110">
        <f t="shared" ca="1" si="22"/>
        <v>161856119.46091494</v>
      </c>
      <c r="N89" s="8"/>
      <c r="O89" s="8"/>
      <c r="Q89" s="110"/>
    </row>
    <row r="90" spans="2:17" ht="12.75" customHeight="1" x14ac:dyDescent="0.2">
      <c r="B90" s="223" t="str">
        <f t="shared" si="21"/>
        <v>Annual Cell Materials Rates: Negative current collector, m²/yr</v>
      </c>
      <c r="C90" s="8" t="s">
        <v>2417</v>
      </c>
      <c r="D90" s="8"/>
      <c r="E90" s="8"/>
      <c r="F90" s="8"/>
      <c r="G90" s="110">
        <f t="shared" ref="G90:M92" ca="1" si="23">G66*G$15</f>
        <v>171707102.17314357</v>
      </c>
      <c r="H90" s="110">
        <f t="shared" ca="1" si="23"/>
        <v>171707102.17314357</v>
      </c>
      <c r="I90" s="110">
        <f t="shared" ca="1" si="23"/>
        <v>171707102.17314357</v>
      </c>
      <c r="J90" s="110">
        <f t="shared" ca="1" si="23"/>
        <v>171707102.17314357</v>
      </c>
      <c r="K90" s="110">
        <f t="shared" ca="1" si="23"/>
        <v>171707102.17314357</v>
      </c>
      <c r="L90" s="110">
        <f t="shared" ca="1" si="23"/>
        <v>171707102.17314357</v>
      </c>
      <c r="M90" s="110">
        <f t="shared" ca="1" si="23"/>
        <v>171707102.17314357</v>
      </c>
      <c r="N90" s="8"/>
      <c r="O90" s="8"/>
      <c r="Q90" s="110"/>
    </row>
    <row r="91" spans="2:17" ht="12.75" customHeight="1" x14ac:dyDescent="0.2">
      <c r="B91" s="223" t="str">
        <f t="shared" si="21"/>
        <v>Annual Cell Materials Rates: Separators, m²/yr</v>
      </c>
      <c r="C91" s="8" t="s">
        <v>2418</v>
      </c>
      <c r="D91" s="8"/>
      <c r="E91" s="8"/>
      <c r="F91" s="8"/>
      <c r="G91" s="110">
        <f t="shared" ca="1" si="23"/>
        <v>272555220.25960207</v>
      </c>
      <c r="H91" s="110">
        <f t="shared" ca="1" si="23"/>
        <v>272555220.25960207</v>
      </c>
      <c r="I91" s="110">
        <f t="shared" ca="1" si="23"/>
        <v>272555220.25960207</v>
      </c>
      <c r="J91" s="110">
        <f t="shared" ca="1" si="23"/>
        <v>272555220.25960207</v>
      </c>
      <c r="K91" s="110">
        <f t="shared" ca="1" si="23"/>
        <v>272555220.25960207</v>
      </c>
      <c r="L91" s="110">
        <f t="shared" ca="1" si="23"/>
        <v>272555220.25960207</v>
      </c>
      <c r="M91" s="110">
        <f t="shared" ca="1" si="23"/>
        <v>272555220.25960207</v>
      </c>
      <c r="N91" s="8"/>
      <c r="O91" s="8"/>
      <c r="Q91" s="110"/>
    </row>
    <row r="92" spans="2:17" ht="12.75" customHeight="1" x14ac:dyDescent="0.15">
      <c r="B92" s="223" t="str">
        <f t="shared" si="21"/>
        <v>Annual Cell Materials Rates: Electrolyte, L/yr</v>
      </c>
      <c r="C92" s="8" t="s">
        <v>2419</v>
      </c>
      <c r="D92" s="8"/>
      <c r="E92" s="8"/>
      <c r="F92" s="8"/>
      <c r="G92" s="110">
        <f t="shared" ca="1" si="23"/>
        <v>26869589.475772463</v>
      </c>
      <c r="H92" s="110">
        <f t="shared" ca="1" si="23"/>
        <v>26869589.475772463</v>
      </c>
      <c r="I92" s="110">
        <f t="shared" ca="1" si="23"/>
        <v>26869589.475772463</v>
      </c>
      <c r="J92" s="110">
        <f t="shared" ca="1" si="23"/>
        <v>26869589.475772463</v>
      </c>
      <c r="K92" s="110">
        <f t="shared" ca="1" si="23"/>
        <v>26869589.475772463</v>
      </c>
      <c r="L92" s="110">
        <f t="shared" ca="1" si="23"/>
        <v>26869589.475772463</v>
      </c>
      <c r="M92" s="110">
        <f t="shared" ca="1" si="23"/>
        <v>26869589.475772463</v>
      </c>
      <c r="N92" s="8"/>
      <c r="O92" s="8"/>
      <c r="Q92" s="110"/>
    </row>
    <row r="93" spans="2:17" ht="12.75" customHeight="1" x14ac:dyDescent="0.15">
      <c r="B93" s="223" t="str">
        <f t="shared" si="21"/>
        <v>Annual Cell Materials Rates: Number of negative terminals</v>
      </c>
      <c r="C93" s="8" t="s">
        <v>1094</v>
      </c>
      <c r="D93" s="8"/>
      <c r="E93" s="8"/>
      <c r="F93" s="8"/>
      <c r="G93" s="110">
        <f>G15/Dashboard!$D115*100</f>
        <v>221606648.19944593</v>
      </c>
      <c r="H93" s="110">
        <f>H15/Dashboard!$D115*100</f>
        <v>221606648.19944593</v>
      </c>
      <c r="I93" s="110">
        <f>I15/Dashboard!$D115*100</f>
        <v>221606648.19944593</v>
      </c>
      <c r="J93" s="110">
        <f>J15/Dashboard!$D115*100</f>
        <v>221606648.19944593</v>
      </c>
      <c r="K93" s="110">
        <f>K15/Dashboard!$D115*100</f>
        <v>221606648.19944593</v>
      </c>
      <c r="L93" s="110">
        <f>L15/Dashboard!$D115*100</f>
        <v>221606648.19944593</v>
      </c>
      <c r="M93" s="110">
        <f>M15/Dashboard!$D115*100</f>
        <v>221606648.19944593</v>
      </c>
      <c r="N93" s="110">
        <f>N14/Dashboard!$D115*100</f>
        <v>0</v>
      </c>
      <c r="O93" s="8"/>
      <c r="Q93" s="110"/>
    </row>
    <row r="94" spans="2:17" ht="12.75" customHeight="1" x14ac:dyDescent="0.15">
      <c r="B94" s="223" t="str">
        <f t="shared" si="21"/>
        <v>Annual Cell Materials Rates: Number of positive terminals</v>
      </c>
      <c r="C94" s="8" t="s">
        <v>1095</v>
      </c>
      <c r="D94" s="8"/>
      <c r="E94" s="8"/>
      <c r="F94" s="8"/>
      <c r="G94" s="110">
        <f>G93</f>
        <v>221606648.19944593</v>
      </c>
      <c r="H94" s="110">
        <f t="shared" ref="H94:M94" si="24">H93</f>
        <v>221606648.19944593</v>
      </c>
      <c r="I94" s="110">
        <f t="shared" si="24"/>
        <v>221606648.19944593</v>
      </c>
      <c r="J94" s="110">
        <f t="shared" si="24"/>
        <v>221606648.19944593</v>
      </c>
      <c r="K94" s="110">
        <f t="shared" si="24"/>
        <v>221606648.19944593</v>
      </c>
      <c r="L94" s="110">
        <f t="shared" si="24"/>
        <v>221606648.19944593</v>
      </c>
      <c r="M94" s="110">
        <f t="shared" si="24"/>
        <v>221606648.19944593</v>
      </c>
      <c r="N94" s="8"/>
      <c r="O94" s="8"/>
      <c r="Q94" s="110"/>
    </row>
    <row r="95" spans="2:17" ht="12.75" customHeight="1" x14ac:dyDescent="0.15">
      <c r="B95" s="223" t="str">
        <f t="shared" si="21"/>
        <v>Annual Cell Materials Rates: Number of cell containers</v>
      </c>
      <c r="C95" s="8" t="s">
        <v>1096</v>
      </c>
      <c r="D95" s="8"/>
      <c r="E95" s="8"/>
      <c r="F95" s="8"/>
      <c r="G95" s="110">
        <f>G94</f>
        <v>221606648.19944593</v>
      </c>
      <c r="H95" s="110">
        <f t="shared" ref="H95:M95" si="25">H94</f>
        <v>221606648.19944593</v>
      </c>
      <c r="I95" s="110">
        <f t="shared" si="25"/>
        <v>221606648.19944593</v>
      </c>
      <c r="J95" s="110">
        <f t="shared" si="25"/>
        <v>221606648.19944593</v>
      </c>
      <c r="K95" s="110">
        <f t="shared" si="25"/>
        <v>221606648.19944593</v>
      </c>
      <c r="L95" s="110">
        <f t="shared" si="25"/>
        <v>221606648.19944593</v>
      </c>
      <c r="M95" s="110">
        <f t="shared" si="25"/>
        <v>221606648.19944593</v>
      </c>
      <c r="N95" s="8"/>
      <c r="O95" s="8"/>
      <c r="Q95" s="110"/>
    </row>
    <row r="96" spans="2:17" ht="12.75" customHeight="1" x14ac:dyDescent="0.15">
      <c r="B96" s="223" t="str">
        <f t="shared" si="21"/>
        <v>Annual Cell Materials Rates: Number of aluminum thermal conductors</v>
      </c>
      <c r="C96" s="8" t="s">
        <v>1097</v>
      </c>
      <c r="D96" s="8"/>
      <c r="E96" s="8"/>
      <c r="F96" s="8"/>
      <c r="G96" s="110">
        <f>G15</f>
        <v>210526315.78947365</v>
      </c>
      <c r="H96" s="110">
        <f t="shared" ref="H96:M96" si="26">H15</f>
        <v>210526315.78947365</v>
      </c>
      <c r="I96" s="110">
        <f t="shared" si="26"/>
        <v>210526315.78947365</v>
      </c>
      <c r="J96" s="110">
        <f t="shared" si="26"/>
        <v>210526315.78947365</v>
      </c>
      <c r="K96" s="110">
        <f t="shared" si="26"/>
        <v>210526315.78947365</v>
      </c>
      <c r="L96" s="110">
        <f t="shared" si="26"/>
        <v>210526315.78947365</v>
      </c>
      <c r="M96" s="110">
        <f t="shared" si="26"/>
        <v>210526315.78947365</v>
      </c>
      <c r="N96" s="8"/>
      <c r="O96" s="8"/>
      <c r="Q96" s="110"/>
    </row>
    <row r="97" spans="2:23" ht="14" x14ac:dyDescent="0.15">
      <c r="B97" s="223" t="str">
        <f t="shared" si="21"/>
        <v>Annual Cell Materials Rates: Positive binder solvent evaporated in dryer, kg/yr</v>
      </c>
      <c r="C97" s="8" t="s">
        <v>2420</v>
      </c>
      <c r="D97" s="8"/>
      <c r="E97" s="8"/>
      <c r="F97" s="8"/>
      <c r="G97" s="110">
        <f ca="1">(G49)*G15/1000</f>
        <v>29111541.88820019</v>
      </c>
      <c r="H97" s="110">
        <f t="shared" ref="H97:M97" ca="1" si="27">(H49)*H15/1000</f>
        <v>29111541.88820019</v>
      </c>
      <c r="I97" s="110">
        <f t="shared" ca="1" si="27"/>
        <v>29111541.88820019</v>
      </c>
      <c r="J97" s="110">
        <f t="shared" ca="1" si="27"/>
        <v>29111541.88820019</v>
      </c>
      <c r="K97" s="110">
        <f t="shared" ca="1" si="27"/>
        <v>29111541.88820019</v>
      </c>
      <c r="L97" s="110">
        <f t="shared" ca="1" si="27"/>
        <v>29111541.88820019</v>
      </c>
      <c r="M97" s="110">
        <f t="shared" ca="1" si="27"/>
        <v>29111541.88820019</v>
      </c>
      <c r="N97" s="547" t="s">
        <v>1098</v>
      </c>
      <c r="O97" s="8"/>
      <c r="Q97" s="110"/>
    </row>
    <row r="98" spans="2:23" ht="14" x14ac:dyDescent="0.15">
      <c r="B98" s="223" t="str">
        <f t="shared" si="21"/>
        <v>Annual Cell Materials Rates: Negative binder solvent evaporated in dryer, kg/yr</v>
      </c>
      <c r="C98" s="8" t="s">
        <v>2421</v>
      </c>
      <c r="D98" s="8"/>
      <c r="E98" s="8"/>
      <c r="F98" s="8"/>
      <c r="G98" s="110">
        <f ca="1">G56*G15/1000</f>
        <v>42140164.626702368</v>
      </c>
      <c r="H98" s="110">
        <f t="shared" ref="H98:M98" ca="1" si="28">H56*H15/1000</f>
        <v>42140164.626702368</v>
      </c>
      <c r="I98" s="110">
        <f t="shared" ca="1" si="28"/>
        <v>42140164.626702368</v>
      </c>
      <c r="J98" s="110">
        <f t="shared" ca="1" si="28"/>
        <v>42140164.626702368</v>
      </c>
      <c r="K98" s="110">
        <f t="shared" ca="1" si="28"/>
        <v>42140164.626702368</v>
      </c>
      <c r="L98" s="110">
        <f t="shared" ca="1" si="28"/>
        <v>42140164.626702368</v>
      </c>
      <c r="M98" s="110">
        <f t="shared" ca="1" si="28"/>
        <v>42140164.626702368</v>
      </c>
      <c r="N98" s="547" t="s">
        <v>1098</v>
      </c>
      <c r="O98" s="8"/>
      <c r="T98" s="67"/>
    </row>
    <row r="99" spans="2:23" ht="14" x14ac:dyDescent="0.15">
      <c r="B99" s="223" t="str">
        <f>$B$70 &amp; ": " &amp; C99</f>
        <v>Annual Cell Materials Rates: NMP solvent evaporated in dryer, kg/yr</v>
      </c>
      <c r="C99" s="8" t="s">
        <v>2422</v>
      </c>
      <c r="D99" s="8"/>
      <c r="E99" s="8"/>
      <c r="F99" s="8"/>
      <c r="G99" s="110">
        <f ca="1">IF(Chem!$C$14 = "NMP", 1, 0)*G97 + IF(Chem!$C$44 = "NMP", 1, 0)*G98</f>
        <v>29111541.88820019</v>
      </c>
      <c r="H99" s="110">
        <f ca="1">IF(Chem!$C$14 = "NMP", 1, 0)*H97 + IF(Chem!$C$44 = "NMP", 1, 0)*H98</f>
        <v>29111541.88820019</v>
      </c>
      <c r="I99" s="110">
        <f ca="1">IF(Chem!$C$14 = "NMP", 1, 0)*I97 + IF(Chem!$C$44 = "NMP", 1, 0)*I98</f>
        <v>29111541.88820019</v>
      </c>
      <c r="J99" s="110">
        <f ca="1">IF(Chem!$C$14 = "NMP", 1, 0)*J97 + IF(Chem!$C$44 = "NMP", 1, 0)*J98</f>
        <v>29111541.88820019</v>
      </c>
      <c r="K99" s="110">
        <f ca="1">IF(Chem!$C$14 = "NMP", 1, 0)*K97 + IF(Chem!$C$44 = "NMP", 1, 0)*K98</f>
        <v>29111541.88820019</v>
      </c>
      <c r="L99" s="110">
        <f ca="1">IF(Chem!$C$14 = "NMP", 1, 0)*L97 + IF(Chem!$C$44 = "NMP", 1, 0)*L98</f>
        <v>29111541.88820019</v>
      </c>
      <c r="M99" s="110">
        <f ca="1">IF(Chem!$C$14 = "NMP", 1, 0)*M97 + IF(Chem!$C$44 = "NMP", 1, 0)*M98</f>
        <v>29111541.88820019</v>
      </c>
      <c r="N99" s="547"/>
      <c r="O99" s="8"/>
      <c r="T99" s="67"/>
    </row>
    <row r="100" spans="2:23" ht="14" x14ac:dyDescent="0.15">
      <c r="B100" s="223"/>
      <c r="C100" s="8"/>
      <c r="D100" s="8"/>
      <c r="E100" s="8"/>
      <c r="F100" s="8"/>
      <c r="G100" s="110"/>
      <c r="H100" s="110"/>
      <c r="I100" s="110"/>
      <c r="J100" s="110"/>
      <c r="K100" s="110"/>
      <c r="L100" s="110"/>
      <c r="M100" s="110"/>
      <c r="N100" s="547"/>
      <c r="T100" s="67"/>
    </row>
    <row r="101" spans="2:23" ht="16" x14ac:dyDescent="0.2">
      <c r="B101" s="5" t="s">
        <v>1099</v>
      </c>
      <c r="C101" s="26"/>
      <c r="D101" s="26"/>
      <c r="E101" s="81" t="s">
        <v>1100</v>
      </c>
      <c r="F101" s="81" t="s">
        <v>1101</v>
      </c>
      <c r="G101" s="111"/>
      <c r="H101" s="111"/>
      <c r="I101" s="111"/>
      <c r="J101" s="111"/>
      <c r="K101" s="111"/>
      <c r="L101" s="111"/>
      <c r="M101" s="111"/>
      <c r="T101" s="8"/>
    </row>
    <row r="102" spans="2:23" ht="14" x14ac:dyDescent="0.15">
      <c r="B102" s="507" t="s">
        <v>89</v>
      </c>
      <c r="D102" s="8"/>
      <c r="E102" s="46"/>
      <c r="F102" s="8"/>
      <c r="G102" s="111"/>
      <c r="H102" s="111"/>
      <c r="I102" s="111"/>
      <c r="J102" s="111"/>
      <c r="K102" s="111"/>
      <c r="L102" s="111"/>
      <c r="M102" s="111"/>
      <c r="T102" s="8"/>
      <c r="W102" s="113"/>
    </row>
    <row r="103" spans="2:23" x14ac:dyDescent="0.15">
      <c r="B103" s="223" t="str">
        <f>$B$101 &amp; ": " &amp; C103</f>
        <v>Unit Cell Materials Costs: Positive electrode active material, $/kg</v>
      </c>
      <c r="C103" s="8" t="s">
        <v>1102</v>
      </c>
      <c r="D103" s="8"/>
      <c r="E103" s="112">
        <f>'Cost Input'!F24</f>
        <v>31</v>
      </c>
      <c r="F103" s="112">
        <f>'Cost Input'!G24</f>
        <v>1</v>
      </c>
      <c r="G103" s="113">
        <f ca="1">$E103*('Cost Input'!$F$350/G$72)^(1-$F103)</f>
        <v>31</v>
      </c>
      <c r="H103" s="113">
        <f ca="1">$E103*('Cost Input'!$F$350/H$72)^(1-$F103)</f>
        <v>31</v>
      </c>
      <c r="I103" s="113">
        <f ca="1">$E103*('Cost Input'!$F$350/I$72)^(1-$F103)</f>
        <v>31</v>
      </c>
      <c r="J103" s="113">
        <f ca="1">$E103*('Cost Input'!$F$350/J$72)^(1-$F103)</f>
        <v>31</v>
      </c>
      <c r="K103" s="113">
        <f ca="1">$E103*('Cost Input'!$F$350/K$72)^(1-$F103)</f>
        <v>31</v>
      </c>
      <c r="L103" s="113">
        <f ca="1">$E103*('Cost Input'!$F$350/L$72)^(1-$F103)</f>
        <v>31</v>
      </c>
      <c r="M103" s="113">
        <f ca="1">$E103*('Cost Input'!$F$350/M$72)^(1-$F103)</f>
        <v>31</v>
      </c>
      <c r="T103" s="8"/>
      <c r="W103" s="113"/>
    </row>
    <row r="104" spans="2:23" x14ac:dyDescent="0.15">
      <c r="B104" s="223" t="str">
        <f>$B$101 &amp; ": " &amp; C104</f>
        <v>Unit Cell Materials Costs: Positive electrode carbon additive, $/kg</v>
      </c>
      <c r="C104" s="8" t="s">
        <v>1103</v>
      </c>
      <c r="D104" s="8"/>
      <c r="E104" s="112">
        <f>'Cost Input'!F25</f>
        <v>7</v>
      </c>
      <c r="F104" s="112">
        <f>'Cost Input'!G25</f>
        <v>1</v>
      </c>
      <c r="G104" s="113">
        <f ca="1">$E104*('Cost Input'!$F$350/G$72)^(1-$F104)</f>
        <v>7</v>
      </c>
      <c r="H104" s="113">
        <f ca="1">$E104*('Cost Input'!$F$350/H$72)^(1-$F104)</f>
        <v>7</v>
      </c>
      <c r="I104" s="113">
        <f ca="1">$E104*('Cost Input'!$F$350/I$72)^(1-$F104)</f>
        <v>7</v>
      </c>
      <c r="J104" s="113">
        <f ca="1">$E104*('Cost Input'!$F$350/J$72)^(1-$F104)</f>
        <v>7</v>
      </c>
      <c r="K104" s="113">
        <f ca="1">$E104*('Cost Input'!$F$350/K$72)^(1-$F104)</f>
        <v>7</v>
      </c>
      <c r="L104" s="113">
        <f ca="1">$E104*('Cost Input'!$F$350/L$72)^(1-$F104)</f>
        <v>7</v>
      </c>
      <c r="M104" s="113">
        <f ca="1">$E104*('Cost Input'!$F$350/M$72)^(1-$F104)</f>
        <v>7</v>
      </c>
      <c r="T104" s="8"/>
      <c r="W104" s="113"/>
    </row>
    <row r="105" spans="2:23" x14ac:dyDescent="0.15">
      <c r="B105" s="223" t="str">
        <f>$B$101 &amp; ": " &amp; C105</f>
        <v>Unit Cell Materials Costs: Positive electrode binder, $/kg</v>
      </c>
      <c r="C105" s="8" t="s">
        <v>1104</v>
      </c>
      <c r="D105" s="8"/>
      <c r="E105" s="112">
        <f>'Cost Input'!F26</f>
        <v>15</v>
      </c>
      <c r="F105" s="112">
        <f>'Cost Input'!G26</f>
        <v>1</v>
      </c>
      <c r="G105" s="113">
        <f ca="1">$E105*('Cost Input'!$F$350/G$72)^(1-$F105)</f>
        <v>15</v>
      </c>
      <c r="H105" s="113">
        <f ca="1">$E105*('Cost Input'!$F$350/H$72)^(1-$F105)</f>
        <v>15</v>
      </c>
      <c r="I105" s="113">
        <f ca="1">$E105*('Cost Input'!$F$350/I$72)^(1-$F105)</f>
        <v>15</v>
      </c>
      <c r="J105" s="113">
        <f ca="1">$E105*('Cost Input'!$F$350/J$72)^(1-$F105)</f>
        <v>15</v>
      </c>
      <c r="K105" s="113">
        <f ca="1">$E105*('Cost Input'!$F$350/K$72)^(1-$F105)</f>
        <v>15</v>
      </c>
      <c r="L105" s="113">
        <f ca="1">$E105*('Cost Input'!$F$350/L$72)^(1-$F105)</f>
        <v>15</v>
      </c>
      <c r="M105" s="113">
        <f ca="1">$E105*('Cost Input'!$F$350/M$72)^(1-$F105)</f>
        <v>15</v>
      </c>
      <c r="T105" s="8"/>
      <c r="W105" s="113"/>
    </row>
    <row r="106" spans="2:23" x14ac:dyDescent="0.15">
      <c r="B106" s="223" t="str">
        <f>$B$101 &amp; ": " &amp; C106</f>
        <v>Unit Cell Materials Costs: Positive electrode binder solvent, $/kg</v>
      </c>
      <c r="C106" s="8" t="s">
        <v>1105</v>
      </c>
      <c r="D106" s="8"/>
      <c r="E106" s="112">
        <f>'Cost Input'!F27</f>
        <v>2.7</v>
      </c>
      <c r="F106" s="112">
        <f>'Cost Input'!G27</f>
        <v>1</v>
      </c>
      <c r="G106" s="113">
        <f ca="1">$E106*('Cost Input'!$F$350/G$72)^(1-$F106)</f>
        <v>2.7</v>
      </c>
      <c r="H106" s="113">
        <f ca="1">$E106*('Cost Input'!$F$350/H$72)^(1-$F106)</f>
        <v>2.7</v>
      </c>
      <c r="I106" s="113">
        <f ca="1">$E106*('Cost Input'!$F$350/I$72)^(1-$F106)</f>
        <v>2.7</v>
      </c>
      <c r="J106" s="113">
        <f ca="1">$E106*('Cost Input'!$F$350/J$72)^(1-$F106)</f>
        <v>2.7</v>
      </c>
      <c r="K106" s="113">
        <f ca="1">$E106*('Cost Input'!$F$350/K$72)^(1-$F106)</f>
        <v>2.7</v>
      </c>
      <c r="L106" s="113">
        <f ca="1">$E106*('Cost Input'!$F$350/L$72)^(1-$F106)</f>
        <v>2.7</v>
      </c>
      <c r="M106" s="113">
        <f ca="1">$E106*('Cost Input'!$F$350/M$72)^(1-$F106)</f>
        <v>2.7</v>
      </c>
      <c r="T106" s="8"/>
      <c r="W106" s="114"/>
    </row>
    <row r="107" spans="2:23" x14ac:dyDescent="0.15">
      <c r="B107" s="223"/>
      <c r="C107" s="225"/>
      <c r="D107" s="8"/>
      <c r="E107" s="112"/>
      <c r="F107" s="112"/>
      <c r="G107" s="113"/>
      <c r="H107" s="113"/>
      <c r="I107" s="113"/>
      <c r="J107" s="113"/>
      <c r="K107" s="113"/>
      <c r="L107" s="113"/>
      <c r="M107" s="113"/>
      <c r="T107" s="8"/>
      <c r="W107" s="114"/>
    </row>
    <row r="108" spans="2:23" ht="14" x14ac:dyDescent="0.15">
      <c r="B108" s="507" t="s">
        <v>927</v>
      </c>
      <c r="D108" s="8"/>
      <c r="E108" s="112"/>
      <c r="F108" s="112"/>
      <c r="G108" s="114"/>
      <c r="H108" s="114"/>
      <c r="I108" s="114"/>
      <c r="J108" s="114"/>
      <c r="K108" s="114"/>
      <c r="L108" s="114"/>
      <c r="M108" s="114"/>
      <c r="T108" s="8"/>
      <c r="W108" s="113"/>
    </row>
    <row r="109" spans="2:23" x14ac:dyDescent="0.15">
      <c r="B109" s="223" t="str">
        <f t="shared" ref="B109:B118" si="29">$B$101 &amp; ": " &amp; C109</f>
        <v>Unit Cell Materials Costs: Negative electrode active material, $/kg</v>
      </c>
      <c r="C109" s="8" t="s">
        <v>1106</v>
      </c>
      <c r="D109" s="8"/>
      <c r="E109" s="112">
        <f>'Cost Input'!F30</f>
        <v>9</v>
      </c>
      <c r="F109" s="112">
        <f>'Cost Input'!G30</f>
        <v>1</v>
      </c>
      <c r="G109" s="113">
        <f ca="1">$E109*('Cost Input'!$F$351/G$78)^(1-$F109)</f>
        <v>9</v>
      </c>
      <c r="H109" s="113">
        <f ca="1">$E109*('Cost Input'!$F$351/H$78)^(1-$F109)</f>
        <v>9</v>
      </c>
      <c r="I109" s="113">
        <f ca="1">$E109*('Cost Input'!$F$351/I$78)^(1-$F109)</f>
        <v>9</v>
      </c>
      <c r="J109" s="113">
        <f ca="1">$E109*('Cost Input'!$F$351/J$78)^(1-$F109)</f>
        <v>9</v>
      </c>
      <c r="K109" s="113">
        <f ca="1">$E109*('Cost Input'!$F$351/K$78)^(1-$F109)</f>
        <v>9</v>
      </c>
      <c r="L109" s="113">
        <f ca="1">$E109*('Cost Input'!$F$351/L$78)^(1-$F109)</f>
        <v>9</v>
      </c>
      <c r="M109" s="113">
        <f ca="1">$E109*('Cost Input'!$F$351/M$78)^(1-$F109)</f>
        <v>9</v>
      </c>
      <c r="T109" s="8"/>
      <c r="W109" s="113"/>
    </row>
    <row r="110" spans="2:23" x14ac:dyDescent="0.15">
      <c r="B110" s="223" t="str">
        <f t="shared" si="29"/>
        <v>Unit Cell Materials Costs: Negative electrode carbon additive, $/kg</v>
      </c>
      <c r="C110" s="8" t="s">
        <v>1107</v>
      </c>
      <c r="D110" s="8"/>
      <c r="E110" s="112">
        <f>'Cost Input'!F31</f>
        <v>7</v>
      </c>
      <c r="F110" s="112">
        <f>'Cost Input'!G31</f>
        <v>1</v>
      </c>
      <c r="G110" s="113">
        <f ca="1">$E110*('Cost Input'!$F$351/G$78)^(1-$F110)</f>
        <v>7</v>
      </c>
      <c r="H110" s="113">
        <f ca="1">$E110*('Cost Input'!$F$351/H$78)^(1-$F110)</f>
        <v>7</v>
      </c>
      <c r="I110" s="113">
        <f ca="1">$E110*('Cost Input'!$F$351/I$78)^(1-$F110)</f>
        <v>7</v>
      </c>
      <c r="J110" s="113">
        <f ca="1">$E110*('Cost Input'!$F$351/J$78)^(1-$F110)</f>
        <v>7</v>
      </c>
      <c r="K110" s="113">
        <f ca="1">$E110*('Cost Input'!$F$351/K$78)^(1-$F110)</f>
        <v>7</v>
      </c>
      <c r="L110" s="113">
        <f ca="1">$E110*('Cost Input'!$F$351/L$78)^(1-$F110)</f>
        <v>7</v>
      </c>
      <c r="M110" s="113">
        <f ca="1">$E110*('Cost Input'!$F$351/M$78)^(1-$F110)</f>
        <v>7</v>
      </c>
      <c r="T110" s="8"/>
      <c r="W110" s="113"/>
    </row>
    <row r="111" spans="2:23" x14ac:dyDescent="0.15">
      <c r="B111" s="223" t="str">
        <f t="shared" si="29"/>
        <v>Unit Cell Materials Costs: Negative electrode binder, $/kg</v>
      </c>
      <c r="C111" s="8" t="s">
        <v>1108</v>
      </c>
      <c r="D111" s="8"/>
      <c r="E111" s="112">
        <f>'Cost Input'!F32</f>
        <v>10</v>
      </c>
      <c r="F111" s="112">
        <f>'Cost Input'!G32</f>
        <v>1</v>
      </c>
      <c r="G111" s="113">
        <f ca="1">$E111*('Cost Input'!$F$351/G$78)^(1-$F111)</f>
        <v>10</v>
      </c>
      <c r="H111" s="113">
        <f ca="1">$E111*('Cost Input'!$F$351/H$78)^(1-$F111)</f>
        <v>10</v>
      </c>
      <c r="I111" s="113">
        <f ca="1">$E111*('Cost Input'!$F$351/I$78)^(1-$F111)</f>
        <v>10</v>
      </c>
      <c r="J111" s="113">
        <f ca="1">$E111*('Cost Input'!$F$351/J$78)^(1-$F111)</f>
        <v>10</v>
      </c>
      <c r="K111" s="113">
        <f ca="1">$E111*('Cost Input'!$F$351/K$78)^(1-$F111)</f>
        <v>10</v>
      </c>
      <c r="L111" s="113">
        <f ca="1">$E111*('Cost Input'!$F$351/L$78)^(1-$F111)</f>
        <v>10</v>
      </c>
      <c r="M111" s="113">
        <f ca="1">$E111*('Cost Input'!$F$351/M$78)^(1-$F111)</f>
        <v>10</v>
      </c>
      <c r="T111" s="8"/>
      <c r="W111" s="113"/>
    </row>
    <row r="112" spans="2:23" x14ac:dyDescent="0.15">
      <c r="B112" s="223"/>
      <c r="C112" s="8" t="s">
        <v>1109</v>
      </c>
      <c r="D112" s="8"/>
      <c r="E112" s="112">
        <f>'Cost Input'!F33</f>
        <v>0</v>
      </c>
      <c r="F112" s="112">
        <f>'Cost Input'!G33</f>
        <v>1</v>
      </c>
      <c r="G112" s="113">
        <f ca="1">$E112*('Cost Input'!$F$351/G$78)^(1-$F112)</f>
        <v>0</v>
      </c>
      <c r="H112" s="113">
        <f ca="1">$E112*('Cost Input'!$F$351/H$78)^(1-$F112)</f>
        <v>0</v>
      </c>
      <c r="I112" s="113">
        <f ca="1">$E112*('Cost Input'!$F$351/I$78)^(1-$F112)</f>
        <v>0</v>
      </c>
      <c r="J112" s="113">
        <f ca="1">$E112*('Cost Input'!$F$351/J$78)^(1-$F112)</f>
        <v>0</v>
      </c>
      <c r="K112" s="113">
        <f ca="1">$E112*('Cost Input'!$F$351/K$78)^(1-$F112)</f>
        <v>0</v>
      </c>
      <c r="L112" s="113">
        <f ca="1">$E112*('Cost Input'!$F$351/L$78)^(1-$F112)</f>
        <v>0</v>
      </c>
      <c r="M112" s="113">
        <f ca="1">$E112*('Cost Input'!$F$351/M$78)^(1-$F112)</f>
        <v>0</v>
      </c>
      <c r="T112" s="8"/>
      <c r="W112" s="113"/>
    </row>
    <row r="113" spans="2:23" x14ac:dyDescent="0.15">
      <c r="B113" s="223"/>
      <c r="C113" s="8"/>
      <c r="D113" s="8"/>
      <c r="E113" s="112"/>
      <c r="F113" s="112"/>
      <c r="G113" s="113"/>
      <c r="H113" s="113"/>
      <c r="I113" s="113"/>
      <c r="J113" s="113"/>
      <c r="K113" s="113"/>
      <c r="L113" s="113"/>
      <c r="M113" s="113"/>
      <c r="T113" s="8"/>
      <c r="W113" s="113"/>
    </row>
    <row r="114" spans="2:23" ht="14" x14ac:dyDescent="0.15">
      <c r="B114" s="507" t="s">
        <v>932</v>
      </c>
      <c r="C114" s="225"/>
      <c r="D114" s="8"/>
      <c r="E114" s="112"/>
      <c r="F114" s="112"/>
      <c r="G114" s="113"/>
      <c r="H114" s="113"/>
      <c r="I114" s="113"/>
      <c r="J114" s="113"/>
      <c r="K114" s="113"/>
      <c r="L114" s="113"/>
      <c r="M114" s="113"/>
      <c r="T114" s="8"/>
      <c r="W114" s="113"/>
    </row>
    <row r="115" spans="2:23" ht="14" x14ac:dyDescent="0.2">
      <c r="B115" s="223" t="str">
        <f t="shared" si="29"/>
        <v>Unit Cell Materials Costs: Positive current collector, $/m²</v>
      </c>
      <c r="C115" s="8" t="s">
        <v>1110</v>
      </c>
      <c r="D115" s="8"/>
      <c r="E115" s="112">
        <f>'Cost Input'!F36</f>
        <v>0.2</v>
      </c>
      <c r="F115" s="112">
        <f>'Cost Input'!G36</f>
        <v>1</v>
      </c>
      <c r="G115" s="113">
        <f ca="1">$E115*('Cost Input'!$F$348/G$16)^(1-$F115)</f>
        <v>0.2</v>
      </c>
      <c r="H115" s="113">
        <f ca="1">$E115*('Cost Input'!$F$348/H$16)^(1-$F115)</f>
        <v>0.2</v>
      </c>
      <c r="I115" s="113">
        <f ca="1">$E115*('Cost Input'!$F$348/I$16)^(1-$F115)</f>
        <v>0.2</v>
      </c>
      <c r="J115" s="113">
        <f ca="1">$E115*('Cost Input'!$F$348/J$16)^(1-$F115)</f>
        <v>0.2</v>
      </c>
      <c r="K115" s="113">
        <f ca="1">$E115*('Cost Input'!$F$348/K$16)^(1-$F115)</f>
        <v>0.2</v>
      </c>
      <c r="L115" s="113">
        <f ca="1">$E115*('Cost Input'!$F$348/L$16)^(1-$F115)</f>
        <v>0.2</v>
      </c>
      <c r="M115" s="113">
        <f ca="1">$E115*('Cost Input'!$F$348/M$16)^(1-$F115)</f>
        <v>0.2</v>
      </c>
      <c r="T115" s="8"/>
      <c r="W115" s="113"/>
    </row>
    <row r="116" spans="2:23" ht="14" x14ac:dyDescent="0.2">
      <c r="B116" s="223" t="str">
        <f t="shared" si="29"/>
        <v>Unit Cell Materials Costs: Negative current collector, $/m²</v>
      </c>
      <c r="C116" s="8" t="s">
        <v>1111</v>
      </c>
      <c r="D116" s="8"/>
      <c r="E116" s="112">
        <f>'Cost Input'!F37</f>
        <v>1.2</v>
      </c>
      <c r="F116" s="112">
        <f>'Cost Input'!G37</f>
        <v>1</v>
      </c>
      <c r="G116" s="113">
        <f ca="1">$E116*('Cost Input'!$F$348/G$16)^(1-$F116)</f>
        <v>1.2</v>
      </c>
      <c r="H116" s="113">
        <f ca="1">$E116*('Cost Input'!$F$348/H$16)^(1-$F116)</f>
        <v>1.2</v>
      </c>
      <c r="I116" s="113">
        <f ca="1">$E116*('Cost Input'!$F$348/I$16)^(1-$F116)</f>
        <v>1.2</v>
      </c>
      <c r="J116" s="113">
        <f ca="1">$E116*('Cost Input'!$F$348/J$16)^(1-$F116)</f>
        <v>1.2</v>
      </c>
      <c r="K116" s="113">
        <f ca="1">$E116*('Cost Input'!$F$348/K$16)^(1-$F116)</f>
        <v>1.2</v>
      </c>
      <c r="L116" s="113">
        <f ca="1">$E116*('Cost Input'!$F$348/L$16)^(1-$F116)</f>
        <v>1.2</v>
      </c>
      <c r="M116" s="113">
        <f ca="1">$E116*('Cost Input'!$F$348/M$16)^(1-$F116)</f>
        <v>1.2</v>
      </c>
      <c r="T116" s="8"/>
      <c r="W116" s="113"/>
    </row>
    <row r="117" spans="2:23" ht="14" x14ac:dyDescent="0.2">
      <c r="B117" s="223" t="str">
        <f t="shared" si="29"/>
        <v>Unit Cell Materials Costs: Separators, $/m²</v>
      </c>
      <c r="C117" s="8" t="s">
        <v>1112</v>
      </c>
      <c r="D117" s="8"/>
      <c r="E117" s="112">
        <f>'Cost Input'!F38</f>
        <v>0.9</v>
      </c>
      <c r="F117" s="112">
        <f>'Cost Input'!G38</f>
        <v>1</v>
      </c>
      <c r="G117" s="113">
        <f ca="1">$E117*('Cost Input'!$F$348/G$16)^(1-$F117)</f>
        <v>0.9</v>
      </c>
      <c r="H117" s="113">
        <f ca="1">$E117*('Cost Input'!$F$348/H$16)^(1-$F117)</f>
        <v>0.9</v>
      </c>
      <c r="I117" s="113">
        <f ca="1">$E117*('Cost Input'!$F$348/I$16)^(1-$F117)</f>
        <v>0.9</v>
      </c>
      <c r="J117" s="113">
        <f ca="1">$E117*('Cost Input'!$F$348/J$16)^(1-$F117)</f>
        <v>0.9</v>
      </c>
      <c r="K117" s="113">
        <f ca="1">$E117*('Cost Input'!$F$348/K$16)^(1-$F117)</f>
        <v>0.9</v>
      </c>
      <c r="L117" s="113">
        <f ca="1">$E117*('Cost Input'!$F$348/L$16)^(1-$F117)</f>
        <v>0.9</v>
      </c>
      <c r="M117" s="113">
        <f ca="1">$E117*('Cost Input'!$F$348/M$16)^(1-$F117)</f>
        <v>0.9</v>
      </c>
      <c r="T117" s="8"/>
      <c r="W117" s="113"/>
    </row>
    <row r="118" spans="2:23" x14ac:dyDescent="0.15">
      <c r="B118" s="223" t="str">
        <f t="shared" si="29"/>
        <v>Unit Cell Materials Costs: Electrolyte, $/L</v>
      </c>
      <c r="C118" s="8" t="s">
        <v>95</v>
      </c>
      <c r="D118" s="8"/>
      <c r="E118" s="112">
        <f>'Cost Input'!F39</f>
        <v>9</v>
      </c>
      <c r="F118" s="112">
        <f>'Cost Input'!G39</f>
        <v>1</v>
      </c>
      <c r="G118" s="113">
        <f t="shared" ref="G118:M118" si="30">IF($F118=1,$E118)</f>
        <v>9</v>
      </c>
      <c r="H118" s="113">
        <f t="shared" si="30"/>
        <v>9</v>
      </c>
      <c r="I118" s="113">
        <f t="shared" si="30"/>
        <v>9</v>
      </c>
      <c r="J118" s="113">
        <f t="shared" si="30"/>
        <v>9</v>
      </c>
      <c r="K118" s="113">
        <f t="shared" si="30"/>
        <v>9</v>
      </c>
      <c r="L118" s="113">
        <f t="shared" si="30"/>
        <v>9</v>
      </c>
      <c r="M118" s="113">
        <f t="shared" si="30"/>
        <v>9</v>
      </c>
      <c r="T118" s="8"/>
      <c r="W118" s="114"/>
    </row>
    <row r="119" spans="2:23" x14ac:dyDescent="0.15">
      <c r="B119" s="223"/>
      <c r="C119" s="8"/>
      <c r="D119" s="8"/>
      <c r="E119" s="112"/>
      <c r="F119" s="112"/>
      <c r="G119" s="113"/>
      <c r="H119" s="113"/>
      <c r="I119" s="113"/>
      <c r="J119" s="113"/>
      <c r="K119" s="113"/>
      <c r="L119" s="113"/>
      <c r="M119" s="113"/>
      <c r="T119" s="8"/>
      <c r="W119" s="114"/>
    </row>
    <row r="120" spans="2:23" ht="14" x14ac:dyDescent="0.15">
      <c r="B120" s="507" t="s">
        <v>1113</v>
      </c>
      <c r="D120" s="8"/>
      <c r="E120" s="112"/>
      <c r="F120" s="15"/>
      <c r="G120" s="114"/>
      <c r="H120" s="114"/>
      <c r="I120" s="114"/>
      <c r="J120" s="114"/>
      <c r="K120" s="114"/>
      <c r="L120" s="114"/>
      <c r="M120" s="114"/>
      <c r="T120" s="8"/>
      <c r="W120" s="113"/>
    </row>
    <row r="121" spans="2:23" x14ac:dyDescent="0.15">
      <c r="B121" s="223" t="str">
        <f>$B$101 &amp; ": " &amp; C121</f>
        <v>Unit Cell Materials Costs: Hardware Costs: Positive terminal, $/unit</v>
      </c>
      <c r="C121" s="8" t="s">
        <v>1114</v>
      </c>
      <c r="D121" s="8"/>
      <c r="E121" s="9"/>
      <c r="F121" s="164">
        <f>'Cost Input'!$G$49</f>
        <v>0.85</v>
      </c>
      <c r="G121" s="113">
        <f ca="1">'Battery Design'!G73/1000*'Cost Input'!$F45+'Cost Input'!$G45*('Cost Input'!$F347/G15)^(1-$F121)</f>
        <v>9.5319819726004174E-2</v>
      </c>
      <c r="H121" s="113">
        <f ca="1">'Battery Design'!H73/1000*'Cost Input'!$F45+'Cost Input'!$G45*('Cost Input'!$F347/H15)^(1-$F121)</f>
        <v>9.5319819726004174E-2</v>
      </c>
      <c r="I121" s="113">
        <f ca="1">'Battery Design'!I73/1000*'Cost Input'!$F45+'Cost Input'!$G45*('Cost Input'!$F347/I15)^(1-$F121)</f>
        <v>9.5319819726004174E-2</v>
      </c>
      <c r="J121" s="1058">
        <f ca="1">'Battery Design'!J73/1000*'Cost Input'!$F45+'Cost Input'!$G45*('Cost Input'!$F347/J15)^(1-$F121)</f>
        <v>9.5319819726004174E-2</v>
      </c>
      <c r="K121" s="113">
        <f ca="1">'Battery Design'!K73/1000*'Cost Input'!$F45+'Cost Input'!$G45*('Cost Input'!$F347/K15)^(1-$F121)</f>
        <v>9.5319819726004174E-2</v>
      </c>
      <c r="L121" s="113">
        <f ca="1">'Battery Design'!L73/1000*'Cost Input'!$F45+'Cost Input'!$G45*('Cost Input'!$F347/L15)^(1-$F121)</f>
        <v>9.5319819726004174E-2</v>
      </c>
      <c r="M121" s="113">
        <f ca="1">'Battery Design'!M73/1000*'Cost Input'!$F45+'Cost Input'!$G45*('Cost Input'!$F347/M15)^(1-$F121)</f>
        <v>9.5319819726004174E-2</v>
      </c>
      <c r="T121" s="8"/>
      <c r="W121" s="113"/>
    </row>
    <row r="122" spans="2:23" x14ac:dyDescent="0.15">
      <c r="B122" s="223" t="str">
        <f>$B$101 &amp; ": " &amp; C122</f>
        <v>Unit Cell Materials Costs: Hardware Costs: Negative terminal $/unit</v>
      </c>
      <c r="C122" s="8" t="s">
        <v>1115</v>
      </c>
      <c r="D122" s="8"/>
      <c r="E122" s="9"/>
      <c r="F122" s="164">
        <f>'Cost Input'!$G$49</f>
        <v>0.85</v>
      </c>
      <c r="G122" s="113">
        <f ca="1">'Battery Design'!G74/1000*'Cost Input'!$F46+'Cost Input'!$G46*('Cost Input'!$F347/G15)^(1-$F122)</f>
        <v>0.20157277225823672</v>
      </c>
      <c r="H122" s="113">
        <f ca="1">'Battery Design'!H74/1000*'Cost Input'!$F46+'Cost Input'!$G46*('Cost Input'!$F347/H15)^(1-$F122)</f>
        <v>0.20157277225823672</v>
      </c>
      <c r="I122" s="113">
        <f ca="1">'Battery Design'!I74/1000*'Cost Input'!$F46+'Cost Input'!$G46*('Cost Input'!$F347/I15)^(1-$F122)</f>
        <v>0.20157277225823672</v>
      </c>
      <c r="J122" s="113">
        <f ca="1">'Battery Design'!J74/1000*'Cost Input'!$F46+'Cost Input'!$G46*('Cost Input'!$F347/J15)^(1-$F122)</f>
        <v>0.20157277225823672</v>
      </c>
      <c r="K122" s="113">
        <f ca="1">'Battery Design'!K74/1000*'Cost Input'!$F46+'Cost Input'!$G46*('Cost Input'!$F347/K15)^(1-$F122)</f>
        <v>0.20157277225823672</v>
      </c>
      <c r="L122" s="113">
        <f ca="1">'Battery Design'!L74/1000*'Cost Input'!$F46+'Cost Input'!$G46*('Cost Input'!$F347/L15)^(1-$F122)</f>
        <v>0.20157277225823672</v>
      </c>
      <c r="M122" s="113">
        <f ca="1">'Battery Design'!M74/1000*'Cost Input'!$F46+'Cost Input'!$G46*('Cost Input'!$F347/M15)^(1-$F122)</f>
        <v>0.20157277225823672</v>
      </c>
      <c r="T122" s="8"/>
      <c r="W122" s="113"/>
    </row>
    <row r="123" spans="2:23" ht="14" x14ac:dyDescent="0.15">
      <c r="B123" s="223" t="str">
        <f>$B$101 &amp; ": " &amp; C123</f>
        <v>Unit Cell Materials Costs: Hardware Costs: Cell container $/unit</v>
      </c>
      <c r="C123" s="8" t="s">
        <v>1116</v>
      </c>
      <c r="D123" s="8"/>
      <c r="E123" s="9"/>
      <c r="F123" s="164">
        <f>'Cost Input'!$G$49</f>
        <v>0.85</v>
      </c>
      <c r="G123" s="113">
        <f ca="1">'Battery Design'!G81/1000*'Cost Input'!$F47+'Cost Input'!$G47*('Cost Input'!$F347/G15)^(1-$F123)</f>
        <v>0.25981778644562253</v>
      </c>
      <c r="H123" s="113">
        <f ca="1">'Battery Design'!H81/1000*'Cost Input'!$F47+'Cost Input'!$G47*('Cost Input'!$F347/H15)^(1-$F123)</f>
        <v>0.25981778644562253</v>
      </c>
      <c r="I123" s="113">
        <f ca="1">'Battery Design'!I81/1000*'Cost Input'!$F47+'Cost Input'!$G47*('Cost Input'!$F347/I15)^(1-$F123)</f>
        <v>0.25981778644562253</v>
      </c>
      <c r="J123" s="113">
        <f ca="1">'Battery Design'!J81/1000*'Cost Input'!$F47+'Cost Input'!$G47*('Cost Input'!$F347/J15)^(1-$F123)</f>
        <v>0.25981778644562253</v>
      </c>
      <c r="K123" s="113">
        <f ca="1">'Battery Design'!K81/1000*'Cost Input'!$F47+'Cost Input'!$G47*('Cost Input'!$F347/K15)^(1-$F123)</f>
        <v>0.25981778644562253</v>
      </c>
      <c r="L123" s="113">
        <f ca="1">'Battery Design'!L81/1000*'Cost Input'!$F47+'Cost Input'!$G47*('Cost Input'!$F347/L15)^(1-$F123)</f>
        <v>0.25981778644562253</v>
      </c>
      <c r="M123" s="113">
        <f ca="1">'Battery Design'!M81/1000*'Cost Input'!$F47+'Cost Input'!$G47*('Cost Input'!$F347/M15)^(1-$F123)</f>
        <v>0.25981778644562253</v>
      </c>
      <c r="T123" s="67"/>
      <c r="W123" s="114"/>
    </row>
    <row r="124" spans="2:23" ht="14" x14ac:dyDescent="0.15">
      <c r="B124" s="223"/>
      <c r="C124" s="8"/>
      <c r="D124" s="8"/>
      <c r="E124" s="9"/>
      <c r="F124" s="164"/>
      <c r="G124" s="113"/>
      <c r="H124" s="113"/>
      <c r="I124" s="113"/>
      <c r="J124" s="113"/>
      <c r="K124" s="113"/>
      <c r="L124" s="113"/>
      <c r="M124" s="113"/>
      <c r="T124" s="67"/>
      <c r="W124" s="114"/>
    </row>
    <row r="125" spans="2:23" ht="16" x14ac:dyDescent="0.2">
      <c r="B125" s="5" t="s">
        <v>1117</v>
      </c>
      <c r="C125" s="26"/>
      <c r="D125" s="26"/>
      <c r="E125" s="112"/>
      <c r="F125" s="15"/>
      <c r="G125" s="114"/>
      <c r="H125" s="114"/>
      <c r="I125" s="114"/>
      <c r="J125" s="114"/>
      <c r="K125" s="114"/>
      <c r="L125" s="114"/>
      <c r="M125" s="114"/>
      <c r="T125" s="8"/>
      <c r="W125" s="114"/>
    </row>
    <row r="126" spans="2:23" ht="14" x14ac:dyDescent="0.15">
      <c r="B126" s="507" t="s">
        <v>1118</v>
      </c>
      <c r="D126" s="8"/>
      <c r="E126" s="112"/>
      <c r="F126" s="15"/>
      <c r="G126" s="114"/>
      <c r="H126" s="114"/>
      <c r="I126" s="114"/>
      <c r="J126" s="114"/>
      <c r="K126" s="114"/>
      <c r="L126" s="114"/>
      <c r="M126" s="114"/>
      <c r="T126" s="8"/>
      <c r="W126" s="115"/>
    </row>
    <row r="127" spans="2:23" x14ac:dyDescent="0.15">
      <c r="B127" s="223" t="str">
        <f>$B$125 &amp; ": " &amp; C127</f>
        <v>Cell Materials Cost, $/cell: Positive electrode active material, $/cell</v>
      </c>
      <c r="C127" s="8" t="s">
        <v>1119</v>
      </c>
      <c r="D127" s="225"/>
      <c r="E127" s="112"/>
      <c r="F127" s="15"/>
      <c r="G127" s="115">
        <f ca="1">G103*G46/1000</f>
        <v>12.592106470168275</v>
      </c>
      <c r="H127" s="115">
        <f t="shared" ref="G127:M129" ca="1" si="31">H103*H46/1000</f>
        <v>12.592106470168275</v>
      </c>
      <c r="I127" s="115">
        <f t="shared" ca="1" si="31"/>
        <v>12.592106470168275</v>
      </c>
      <c r="J127" s="115">
        <f t="shared" ca="1" si="31"/>
        <v>12.592106470168275</v>
      </c>
      <c r="K127" s="115">
        <f t="shared" ca="1" si="31"/>
        <v>12.592106470168275</v>
      </c>
      <c r="L127" s="115">
        <f t="shared" ca="1" si="31"/>
        <v>12.592106470168275</v>
      </c>
      <c r="M127" s="115">
        <f t="shared" ca="1" si="31"/>
        <v>12.592106470168275</v>
      </c>
      <c r="T127" s="8"/>
      <c r="W127" s="115"/>
    </row>
    <row r="128" spans="2:23" x14ac:dyDescent="0.15">
      <c r="B128" s="223" t="str">
        <f>$B$125 &amp; ": " &amp; C128</f>
        <v>Cell Materials Cost, $/cell: Positive electrode carbon additive, $/cell</v>
      </c>
      <c r="C128" s="8" t="s">
        <v>1120</v>
      </c>
      <c r="D128" s="225"/>
      <c r="E128" s="112"/>
      <c r="F128" s="15"/>
      <c r="G128" s="115">
        <f t="shared" ca="1" si="31"/>
        <v>0.12099484597283205</v>
      </c>
      <c r="H128" s="115">
        <f t="shared" ca="1" si="31"/>
        <v>0.12099484597283205</v>
      </c>
      <c r="I128" s="115">
        <f t="shared" ca="1" si="31"/>
        <v>0.12099484597283205</v>
      </c>
      <c r="J128" s="115">
        <f t="shared" ca="1" si="31"/>
        <v>0.12099484597283205</v>
      </c>
      <c r="K128" s="115">
        <f t="shared" ca="1" si="31"/>
        <v>0.12099484597283205</v>
      </c>
      <c r="L128" s="115">
        <f t="shared" ca="1" si="31"/>
        <v>0.12099484597283205</v>
      </c>
      <c r="M128" s="115">
        <f t="shared" ca="1" si="31"/>
        <v>0.12099484597283205</v>
      </c>
      <c r="T128" s="8"/>
      <c r="W128" s="115"/>
    </row>
    <row r="129" spans="2:23" x14ac:dyDescent="0.15">
      <c r="B129" s="223" t="str">
        <f>$B$125 &amp; ": " &amp; C129</f>
        <v>Cell Materials Cost, $/cell: Positive electrode binder, $/cell</v>
      </c>
      <c r="C129" s="8" t="s">
        <v>1121</v>
      </c>
      <c r="D129" s="225"/>
      <c r="E129" s="112"/>
      <c r="F129" s="15"/>
      <c r="G129" s="115">
        <f t="shared" ca="1" si="31"/>
        <v>0.1296373349708915</v>
      </c>
      <c r="H129" s="115">
        <f t="shared" ca="1" si="31"/>
        <v>0.1296373349708915</v>
      </c>
      <c r="I129" s="115">
        <f t="shared" ca="1" si="31"/>
        <v>0.1296373349708915</v>
      </c>
      <c r="J129" s="115">
        <f t="shared" ca="1" si="31"/>
        <v>0.1296373349708915</v>
      </c>
      <c r="K129" s="115">
        <f t="shared" ca="1" si="31"/>
        <v>0.1296373349708915</v>
      </c>
      <c r="L129" s="115">
        <f t="shared" ca="1" si="31"/>
        <v>0.1296373349708915</v>
      </c>
      <c r="M129" s="115">
        <f t="shared" ca="1" si="31"/>
        <v>0.1296373349708915</v>
      </c>
      <c r="T129" s="8"/>
      <c r="W129" s="115"/>
    </row>
    <row r="130" spans="2:23" x14ac:dyDescent="0.15">
      <c r="B130" s="223" t="str">
        <f>$B$125 &amp; ": " &amp; C130</f>
        <v>Cell Materials Cost, $/cell: Positive electrode binder solvent (NMP), $/cell</v>
      </c>
      <c r="C130" s="8" t="str">
        <f>"Positive electrode binder solvent (" &amp; Chem!$C$14&amp;"), $/cell"</f>
        <v>Positive electrode binder solvent (NMP), $/cell</v>
      </c>
      <c r="D130" s="225"/>
      <c r="E130" s="112"/>
      <c r="F130" s="15"/>
      <c r="G130" s="115">
        <f ca="1">G97*G106/G15</f>
        <v>0.37335552471616756</v>
      </c>
      <c r="H130" s="115">
        <f t="shared" ref="H130:N130" ca="1" si="32">H97*H106/H15</f>
        <v>0.37335552471616756</v>
      </c>
      <c r="I130" s="115">
        <f t="shared" ca="1" si="32"/>
        <v>0.37335552471616756</v>
      </c>
      <c r="J130" s="115">
        <f t="shared" ca="1" si="32"/>
        <v>0.37335552471616756</v>
      </c>
      <c r="K130" s="115">
        <f t="shared" ca="1" si="32"/>
        <v>0.37335552471616756</v>
      </c>
      <c r="L130" s="115">
        <f t="shared" ca="1" si="32"/>
        <v>0.37335552471616756</v>
      </c>
      <c r="M130" s="115">
        <f t="shared" ca="1" si="32"/>
        <v>0.37335552471616756</v>
      </c>
      <c r="N130" s="115" t="e">
        <f t="shared" si="32"/>
        <v>#VALUE!</v>
      </c>
      <c r="T130" s="8"/>
      <c r="W130" s="115"/>
    </row>
    <row r="131" spans="2:23" x14ac:dyDescent="0.15">
      <c r="B131" s="223"/>
      <c r="C131" s="225"/>
      <c r="D131" s="225"/>
      <c r="E131" s="112"/>
      <c r="F131" s="15"/>
      <c r="G131" s="115"/>
      <c r="H131" s="115"/>
      <c r="I131" s="115"/>
      <c r="J131" s="115"/>
      <c r="K131" s="115"/>
      <c r="L131" s="115"/>
      <c r="M131" s="115"/>
      <c r="N131" s="115" t="e">
        <f>N97*3.1/N15</f>
        <v>#VALUE!</v>
      </c>
      <c r="T131" s="8"/>
      <c r="W131" s="115"/>
    </row>
    <row r="132" spans="2:23" ht="14" x14ac:dyDescent="0.15">
      <c r="B132" s="507" t="s">
        <v>1122</v>
      </c>
      <c r="D132" s="8"/>
      <c r="E132" s="112"/>
      <c r="F132" s="15"/>
      <c r="G132" s="115"/>
      <c r="H132" s="115"/>
      <c r="I132" s="115"/>
      <c r="J132" s="115"/>
      <c r="K132" s="115"/>
      <c r="L132" s="115"/>
      <c r="M132" s="115"/>
      <c r="T132" s="8"/>
      <c r="W132" s="115"/>
    </row>
    <row r="133" spans="2:23" x14ac:dyDescent="0.15">
      <c r="B133" s="223" t="str">
        <f>$B$125 &amp; ": " &amp; C133</f>
        <v>Cell Materials Cost, $/cell: Negative electrode active material, $/cell</v>
      </c>
      <c r="C133" s="8" t="s">
        <v>1123</v>
      </c>
      <c r="D133" s="8"/>
      <c r="E133" s="112"/>
      <c r="F133" s="15"/>
      <c r="G133" s="115">
        <f t="shared" ref="G133:M135" ca="1" si="33">G109*G53/1000</f>
        <v>2.1617904453491401</v>
      </c>
      <c r="H133" s="115">
        <f t="shared" ca="1" si="33"/>
        <v>2.1617904453491401</v>
      </c>
      <c r="I133" s="115">
        <f t="shared" ca="1" si="33"/>
        <v>2.1617904453491401</v>
      </c>
      <c r="J133" s="115">
        <f t="shared" ca="1" si="33"/>
        <v>2.1617904453491401</v>
      </c>
      <c r="K133" s="115">
        <f t="shared" ca="1" si="33"/>
        <v>2.1617904453491401</v>
      </c>
      <c r="L133" s="115">
        <f t="shared" ca="1" si="33"/>
        <v>2.1617904453491401</v>
      </c>
      <c r="M133" s="115">
        <f t="shared" ca="1" si="33"/>
        <v>2.1617904453491401</v>
      </c>
      <c r="T133" s="8"/>
      <c r="W133" s="115"/>
    </row>
    <row r="134" spans="2:23" x14ac:dyDescent="0.15">
      <c r="B134" s="223" t="str">
        <f>$B$125 &amp; ": " &amp; C134</f>
        <v>Cell Materials Cost, $/cell: Negative electrode carbon additive, $/cell</v>
      </c>
      <c r="C134" s="8" t="s">
        <v>1124</v>
      </c>
      <c r="D134" s="8"/>
      <c r="E134" s="112"/>
      <c r="F134" s="15"/>
      <c r="G134" s="115">
        <f t="shared" ca="1" si="33"/>
        <v>3.5029011845946353E-2</v>
      </c>
      <c r="H134" s="115">
        <f t="shared" ca="1" si="33"/>
        <v>3.5029011845946353E-2</v>
      </c>
      <c r="I134" s="115">
        <f t="shared" ca="1" si="33"/>
        <v>3.5029011845946353E-2</v>
      </c>
      <c r="J134" s="115">
        <f t="shared" ca="1" si="33"/>
        <v>3.5029011845946353E-2</v>
      </c>
      <c r="K134" s="115">
        <f t="shared" ca="1" si="33"/>
        <v>3.5029011845946353E-2</v>
      </c>
      <c r="L134" s="115">
        <f t="shared" ca="1" si="33"/>
        <v>3.5029011845946353E-2</v>
      </c>
      <c r="M134" s="115">
        <f t="shared" ca="1" si="33"/>
        <v>3.5029011845946353E-2</v>
      </c>
      <c r="T134" s="8"/>
      <c r="W134" s="115"/>
    </row>
    <row r="135" spans="2:23" x14ac:dyDescent="0.15">
      <c r="B135" s="223" t="str">
        <f>$B$125 &amp; ": " &amp; C135</f>
        <v>Cell Materials Cost, $/cell: Negative electrode binder, $/cell</v>
      </c>
      <c r="C135" s="8" t="s">
        <v>1125</v>
      </c>
      <c r="D135" s="8"/>
      <c r="E135" s="112"/>
      <c r="F135" s="15"/>
      <c r="G135" s="115">
        <f t="shared" ca="1" si="33"/>
        <v>5.0041445494209073E-2</v>
      </c>
      <c r="H135" s="115">
        <f t="shared" ca="1" si="33"/>
        <v>5.0041445494209073E-2</v>
      </c>
      <c r="I135" s="115">
        <f t="shared" ca="1" si="33"/>
        <v>5.0041445494209073E-2</v>
      </c>
      <c r="J135" s="115">
        <f t="shared" ca="1" si="33"/>
        <v>5.0041445494209073E-2</v>
      </c>
      <c r="K135" s="115">
        <f t="shared" ca="1" si="33"/>
        <v>5.0041445494209073E-2</v>
      </c>
      <c r="L135" s="115">
        <f t="shared" ca="1" si="33"/>
        <v>5.0041445494209073E-2</v>
      </c>
      <c r="M135" s="115">
        <f t="shared" ca="1" si="33"/>
        <v>5.0041445494209073E-2</v>
      </c>
      <c r="T135" s="8"/>
      <c r="W135" s="115"/>
    </row>
    <row r="136" spans="2:23" x14ac:dyDescent="0.15">
      <c r="B136" s="223"/>
      <c r="C136" s="8" t="str">
        <f>"Negative electrode binder solvent (" &amp; Chem!C44&amp;"), $/cell"</f>
        <v>Negative electrode binder solvent (Water), $/cell</v>
      </c>
      <c r="D136" s="8"/>
      <c r="E136" s="112"/>
      <c r="F136" s="15"/>
      <c r="G136" s="115">
        <f ca="1">G112*G56/1000</f>
        <v>0</v>
      </c>
      <c r="H136" s="115">
        <f t="shared" ref="H136:M136" ca="1" si="34">H112*H56/1000</f>
        <v>0</v>
      </c>
      <c r="I136" s="115">
        <f t="shared" ca="1" si="34"/>
        <v>0</v>
      </c>
      <c r="J136" s="115">
        <f t="shared" ca="1" si="34"/>
        <v>0</v>
      </c>
      <c r="K136" s="115">
        <f t="shared" ca="1" si="34"/>
        <v>0</v>
      </c>
      <c r="L136" s="115">
        <f t="shared" ca="1" si="34"/>
        <v>0</v>
      </c>
      <c r="M136" s="115">
        <f t="shared" ca="1" si="34"/>
        <v>0</v>
      </c>
      <c r="T136" s="8"/>
      <c r="W136" s="115"/>
    </row>
    <row r="137" spans="2:23" x14ac:dyDescent="0.15">
      <c r="B137" s="223"/>
      <c r="C137" s="8"/>
      <c r="D137" s="8"/>
      <c r="E137" s="112"/>
      <c r="F137" s="15"/>
      <c r="G137" s="115"/>
      <c r="H137" s="115"/>
      <c r="I137" s="115"/>
      <c r="J137" s="115"/>
      <c r="K137" s="115"/>
      <c r="L137" s="115"/>
      <c r="M137" s="115"/>
      <c r="T137" s="8"/>
      <c r="W137" s="115"/>
    </row>
    <row r="138" spans="2:23" ht="14" x14ac:dyDescent="0.15">
      <c r="B138" s="507" t="s">
        <v>331</v>
      </c>
      <c r="C138" s="225"/>
      <c r="D138" s="8"/>
      <c r="E138" s="112"/>
      <c r="F138" s="15"/>
      <c r="G138" s="115"/>
      <c r="H138" s="115"/>
      <c r="I138" s="115"/>
      <c r="J138" s="115"/>
      <c r="K138" s="115"/>
      <c r="L138" s="115"/>
      <c r="M138" s="115"/>
      <c r="T138" s="8"/>
      <c r="W138" s="115"/>
    </row>
    <row r="139" spans="2:23" x14ac:dyDescent="0.15">
      <c r="B139" s="223"/>
      <c r="C139" s="9" t="str">
        <f>"Positive electrode additve (" &amp; Chem!$C$75&amp; "), $/cell"</f>
        <v>Positive electrode additve (None), $/cell</v>
      </c>
      <c r="D139" s="8"/>
      <c r="E139" s="112"/>
      <c r="F139" s="15"/>
      <c r="G139" s="115">
        <f ca="1">G60*Chem!$C$78/1000</f>
        <v>0</v>
      </c>
      <c r="H139" s="115">
        <f ca="1">H60*Chem!$C$78/1000</f>
        <v>0</v>
      </c>
      <c r="I139" s="115">
        <f ca="1">I60*Chem!$C$78/1000</f>
        <v>0</v>
      </c>
      <c r="J139" s="115">
        <f ca="1">J60*Chem!$C$78/1000</f>
        <v>0</v>
      </c>
      <c r="K139" s="115">
        <f ca="1">K60*Chem!$C$78/1000</f>
        <v>0</v>
      </c>
      <c r="L139" s="115">
        <f ca="1">L60*Chem!$C$78/1000</f>
        <v>0</v>
      </c>
      <c r="M139" s="115">
        <f ca="1">M60*Chem!$C$78/1000</f>
        <v>0</v>
      </c>
      <c r="N139" s="19">
        <f>N60*Chem!$C$78/1000</f>
        <v>0</v>
      </c>
      <c r="T139" s="8"/>
      <c r="W139" s="115"/>
    </row>
    <row r="140" spans="2:23" x14ac:dyDescent="0.15">
      <c r="B140" s="223"/>
      <c r="C140" s="9" t="str">
        <f>"Negative electrode additve (" &amp; Chem!$C$81&amp; "), $/cell"</f>
        <v>Negative electrode additve (None), $/cell</v>
      </c>
      <c r="D140" s="8"/>
      <c r="E140" s="112"/>
      <c r="F140" s="15"/>
      <c r="G140" s="115">
        <f ca="1">G61*Chem!$C$84/1000</f>
        <v>0</v>
      </c>
      <c r="H140" s="115">
        <f ca="1">H61*Chem!$C$84/1000</f>
        <v>0</v>
      </c>
      <c r="I140" s="115">
        <f ca="1">I61*Chem!$C$84/1000</f>
        <v>0</v>
      </c>
      <c r="J140" s="115">
        <f ca="1">J61*Chem!$C$84/1000</f>
        <v>0</v>
      </c>
      <c r="K140" s="115">
        <f ca="1">K61*Chem!$C$84/1000</f>
        <v>0</v>
      </c>
      <c r="L140" s="115">
        <f ca="1">L61*Chem!$C$84/1000</f>
        <v>0</v>
      </c>
      <c r="M140" s="115">
        <f ca="1">M61*Chem!$C$84/1000</f>
        <v>0</v>
      </c>
      <c r="T140" s="8"/>
      <c r="W140" s="115"/>
    </row>
    <row r="141" spans="2:23" x14ac:dyDescent="0.15">
      <c r="B141" s="223"/>
      <c r="C141" s="9" t="str">
        <f>"Electrolyte additve (" &amp; Chem!$C$87&amp; "), $/cell"</f>
        <v>Electrolyte additve (None), $/cell</v>
      </c>
      <c r="D141" s="8"/>
      <c r="E141" s="112"/>
      <c r="F141" s="15"/>
      <c r="G141" s="115">
        <f ca="1">G62*Chem!$C$90/1000</f>
        <v>0</v>
      </c>
      <c r="H141" s="115">
        <f ca="1">H62*Chem!$C$90/1000</f>
        <v>0</v>
      </c>
      <c r="I141" s="115">
        <f ca="1">I62*Chem!$C$90/1000</f>
        <v>0</v>
      </c>
      <c r="J141" s="115">
        <f ca="1">J62*Chem!$C$90/1000</f>
        <v>0</v>
      </c>
      <c r="K141" s="115">
        <f ca="1">K62*Chem!$C$90/1000</f>
        <v>0</v>
      </c>
      <c r="L141" s="115">
        <f ca="1">L62*Chem!$C$90/1000</f>
        <v>0</v>
      </c>
      <c r="M141" s="115">
        <f ca="1">M62*Chem!$C$90/1000</f>
        <v>0</v>
      </c>
      <c r="T141" s="8"/>
      <c r="W141" s="115"/>
    </row>
    <row r="142" spans="2:23" x14ac:dyDescent="0.15">
      <c r="B142" s="223"/>
      <c r="C142" s="9"/>
      <c r="D142" s="8"/>
      <c r="E142" s="112"/>
      <c r="F142" s="15"/>
      <c r="G142" s="115"/>
      <c r="H142" s="115"/>
      <c r="I142" s="115"/>
      <c r="J142" s="115"/>
      <c r="K142" s="115"/>
      <c r="L142" s="115"/>
      <c r="M142" s="115"/>
      <c r="T142" s="8"/>
      <c r="W142" s="115"/>
    </row>
    <row r="143" spans="2:23" ht="14" x14ac:dyDescent="0.15">
      <c r="B143" s="507" t="s">
        <v>1126</v>
      </c>
      <c r="D143" s="8"/>
      <c r="E143" s="112"/>
      <c r="F143" s="15"/>
      <c r="G143" s="115"/>
      <c r="H143" s="115"/>
      <c r="I143" s="115"/>
      <c r="J143" s="115"/>
      <c r="K143" s="115"/>
      <c r="L143" s="115"/>
      <c r="M143" s="115"/>
      <c r="T143" s="8"/>
      <c r="W143" s="115"/>
    </row>
    <row r="144" spans="2:23" x14ac:dyDescent="0.15">
      <c r="B144" s="223" t="str">
        <f t="shared" ref="B144:B152" si="35">$B$125 &amp; ": " &amp; C144</f>
        <v>Cell Materials Cost, $/cell: Positive current collector, $/cell</v>
      </c>
      <c r="C144" s="8" t="s">
        <v>1127</v>
      </c>
      <c r="D144" s="8"/>
      <c r="E144" s="112"/>
      <c r="F144" s="15"/>
      <c r="G144" s="115">
        <f t="shared" ref="G144:M147" ca="1" si="36">G115*G65</f>
        <v>0.15376331348786923</v>
      </c>
      <c r="H144" s="115">
        <f t="shared" ca="1" si="36"/>
        <v>0.15376331348786923</v>
      </c>
      <c r="I144" s="115">
        <f t="shared" ca="1" si="36"/>
        <v>0.15376331348786923</v>
      </c>
      <c r="J144" s="115">
        <f t="shared" ca="1" si="36"/>
        <v>0.15376331348786923</v>
      </c>
      <c r="K144" s="115">
        <f t="shared" ca="1" si="36"/>
        <v>0.15376331348786923</v>
      </c>
      <c r="L144" s="115">
        <f t="shared" ca="1" si="36"/>
        <v>0.15376331348786923</v>
      </c>
      <c r="M144" s="115">
        <f t="shared" ca="1" si="36"/>
        <v>0.15376331348786923</v>
      </c>
      <c r="T144" s="8"/>
      <c r="W144" s="115"/>
    </row>
    <row r="145" spans="2:23" x14ac:dyDescent="0.15">
      <c r="B145" s="223" t="str">
        <f t="shared" si="35"/>
        <v>Cell Materials Cost, $/cell: Negative current collector, $/cell</v>
      </c>
      <c r="C145" s="8" t="s">
        <v>1128</v>
      </c>
      <c r="D145" s="8"/>
      <c r="E145" s="112"/>
      <c r="F145" s="15"/>
      <c r="G145" s="115">
        <f t="shared" ca="1" si="36"/>
        <v>0.9787304823869184</v>
      </c>
      <c r="H145" s="115">
        <f t="shared" ca="1" si="36"/>
        <v>0.9787304823869184</v>
      </c>
      <c r="I145" s="115">
        <f t="shared" ca="1" si="36"/>
        <v>0.9787304823869184</v>
      </c>
      <c r="J145" s="115">
        <f t="shared" ca="1" si="36"/>
        <v>0.9787304823869184</v>
      </c>
      <c r="K145" s="115">
        <f t="shared" ca="1" si="36"/>
        <v>0.9787304823869184</v>
      </c>
      <c r="L145" s="115">
        <f t="shared" ca="1" si="36"/>
        <v>0.9787304823869184</v>
      </c>
      <c r="M145" s="115">
        <f t="shared" ca="1" si="36"/>
        <v>0.9787304823869184</v>
      </c>
      <c r="T145" s="8"/>
      <c r="W145" s="115"/>
    </row>
    <row r="146" spans="2:23" x14ac:dyDescent="0.15">
      <c r="B146" s="223" t="str">
        <f t="shared" si="35"/>
        <v>Cell Materials Cost, $/cell: Separators, $/cell</v>
      </c>
      <c r="C146" s="8" t="s">
        <v>1129</v>
      </c>
      <c r="D146" s="8"/>
      <c r="E146" s="112"/>
      <c r="F146" s="15"/>
      <c r="G146" s="115">
        <f t="shared" ca="1" si="36"/>
        <v>1.1651735666097991</v>
      </c>
      <c r="H146" s="115">
        <f t="shared" ca="1" si="36"/>
        <v>1.1651735666097991</v>
      </c>
      <c r="I146" s="115">
        <f t="shared" ca="1" si="36"/>
        <v>1.1651735666097991</v>
      </c>
      <c r="J146" s="115">
        <f t="shared" ca="1" si="36"/>
        <v>1.1651735666097991</v>
      </c>
      <c r="K146" s="115">
        <f t="shared" ca="1" si="36"/>
        <v>1.1651735666097991</v>
      </c>
      <c r="L146" s="115">
        <f t="shared" ca="1" si="36"/>
        <v>1.1651735666097991</v>
      </c>
      <c r="M146" s="115">
        <f t="shared" ca="1" si="36"/>
        <v>1.1651735666097991</v>
      </c>
      <c r="T146" s="8"/>
      <c r="W146" s="115"/>
    </row>
    <row r="147" spans="2:23" x14ac:dyDescent="0.15">
      <c r="B147" s="223" t="str">
        <f t="shared" si="35"/>
        <v>Cell Materials Cost, $/cell: Electrolyte, $/cell</v>
      </c>
      <c r="C147" s="8" t="s">
        <v>1130</v>
      </c>
      <c r="D147" s="8"/>
      <c r="E147" s="112"/>
      <c r="F147" s="1215"/>
      <c r="G147" s="115">
        <f t="shared" ca="1" si="36"/>
        <v>1.148674950089273</v>
      </c>
      <c r="H147" s="115">
        <f t="shared" ca="1" si="36"/>
        <v>1.148674950089273</v>
      </c>
      <c r="I147" s="115">
        <f t="shared" ca="1" si="36"/>
        <v>1.148674950089273</v>
      </c>
      <c r="J147" s="115">
        <f t="shared" ca="1" si="36"/>
        <v>1.148674950089273</v>
      </c>
      <c r="K147" s="115">
        <f t="shared" ca="1" si="36"/>
        <v>1.148674950089273</v>
      </c>
      <c r="L147" s="115">
        <f t="shared" ca="1" si="36"/>
        <v>1.148674950089273</v>
      </c>
      <c r="M147" s="115">
        <f t="shared" ca="1" si="36"/>
        <v>1.148674950089273</v>
      </c>
      <c r="T147" s="8"/>
      <c r="W147" s="115"/>
    </row>
    <row r="148" spans="2:23" x14ac:dyDescent="0.15">
      <c r="B148" s="223" t="str">
        <f t="shared" si="35"/>
        <v>Cell Materials Cost, $/cell: Positive terminal, $/unit</v>
      </c>
      <c r="C148" s="8" t="s">
        <v>1131</v>
      </c>
      <c r="D148" s="8"/>
      <c r="E148" s="112"/>
      <c r="F148" s="164"/>
      <c r="G148" s="115">
        <f ca="1">G121/Dashboard!$D$115*100</f>
        <v>0.10033665234316227</v>
      </c>
      <c r="H148" s="115">
        <f ca="1">H121/Dashboard!$D$115*100</f>
        <v>0.10033665234316227</v>
      </c>
      <c r="I148" s="115">
        <f ca="1">I121/Dashboard!$D$115*100</f>
        <v>0.10033665234316227</v>
      </c>
      <c r="J148" s="115">
        <f ca="1">J121/Dashboard!$D$115*100</f>
        <v>0.10033665234316227</v>
      </c>
      <c r="K148" s="115">
        <f ca="1">K121/Dashboard!$D$115*100</f>
        <v>0.10033665234316227</v>
      </c>
      <c r="L148" s="115">
        <f ca="1">L121/Dashboard!$D$115*100</f>
        <v>0.10033665234316227</v>
      </c>
      <c r="M148" s="115">
        <f ca="1">M121/Dashboard!$D$115*100</f>
        <v>0.10033665234316227</v>
      </c>
      <c r="N148" s="115">
        <f>N121/Dashboard!$D$115*100</f>
        <v>0</v>
      </c>
      <c r="T148" s="8"/>
      <c r="W148" s="115"/>
    </row>
    <row r="149" spans="2:23" x14ac:dyDescent="0.15">
      <c r="B149" s="223" t="str">
        <f t="shared" si="35"/>
        <v>Cell Materials Cost, $/cell: Negative terminal , $/unit</v>
      </c>
      <c r="C149" s="8" t="s">
        <v>1132</v>
      </c>
      <c r="D149" s="8"/>
      <c r="E149" s="112"/>
      <c r="F149" s="164"/>
      <c r="G149" s="115">
        <f ca="1">G122/Dashboard!$D$115*100</f>
        <v>0.212181865534986</v>
      </c>
      <c r="H149" s="115">
        <f ca="1">H122/Dashboard!$D$115*100</f>
        <v>0.212181865534986</v>
      </c>
      <c r="I149" s="115">
        <f ca="1">I122/Dashboard!$D$115*100</f>
        <v>0.212181865534986</v>
      </c>
      <c r="J149" s="115">
        <f ca="1">J122/Dashboard!$D$115*100</f>
        <v>0.212181865534986</v>
      </c>
      <c r="K149" s="115">
        <f ca="1">K122/Dashboard!$D$115*100</f>
        <v>0.212181865534986</v>
      </c>
      <c r="L149" s="115">
        <f ca="1">L122/Dashboard!$D$115*100</f>
        <v>0.212181865534986</v>
      </c>
      <c r="M149" s="115">
        <f ca="1">M122/Dashboard!$D$115*100</f>
        <v>0.212181865534986</v>
      </c>
      <c r="N149" s="115">
        <f>N122/Dashboard!$D$115*100</f>
        <v>0</v>
      </c>
      <c r="T149" s="8"/>
      <c r="W149" s="115"/>
    </row>
    <row r="150" spans="2:23" x14ac:dyDescent="0.15">
      <c r="B150" s="223" t="str">
        <f t="shared" si="35"/>
        <v>Cell Materials Cost, $/cell: Cell container, $/unit</v>
      </c>
      <c r="C150" s="8" t="s">
        <v>1133</v>
      </c>
      <c r="D150" s="8"/>
      <c r="E150" s="112"/>
      <c r="F150" s="164"/>
      <c r="G150" s="115">
        <f ca="1">G123/Dashboard!$D$115*100</f>
        <v>0.2734924067848658</v>
      </c>
      <c r="H150" s="115">
        <f ca="1">H123/Dashboard!$D$115*100</f>
        <v>0.2734924067848658</v>
      </c>
      <c r="I150" s="115">
        <f ca="1">I123/Dashboard!$D$115*100</f>
        <v>0.2734924067848658</v>
      </c>
      <c r="J150" s="115">
        <f ca="1">J123/Dashboard!$D$115*100</f>
        <v>0.2734924067848658</v>
      </c>
      <c r="K150" s="115">
        <f ca="1">K123/Dashboard!$D$115*100</f>
        <v>0.2734924067848658</v>
      </c>
      <c r="L150" s="115">
        <f ca="1">L123/Dashboard!$D$115*100</f>
        <v>0.2734924067848658</v>
      </c>
      <c r="M150" s="115">
        <f ca="1">M123/Dashboard!$D$115*100</f>
        <v>0.2734924067848658</v>
      </c>
      <c r="N150" s="115">
        <f>N123/Dashboard!$D$115*100</f>
        <v>0</v>
      </c>
      <c r="T150" s="8"/>
      <c r="W150" s="115"/>
    </row>
    <row r="151" spans="2:23" x14ac:dyDescent="0.15">
      <c r="B151" s="223"/>
      <c r="C151" s="8"/>
      <c r="D151" s="8"/>
      <c r="E151" s="112"/>
      <c r="F151" s="164"/>
      <c r="G151" s="115"/>
      <c r="H151" s="115"/>
      <c r="I151" s="115"/>
      <c r="J151" s="115"/>
      <c r="K151" s="115"/>
      <c r="L151" s="115"/>
      <c r="M151" s="115"/>
      <c r="T151" s="8"/>
      <c r="W151" s="115"/>
    </row>
    <row r="152" spans="2:23" x14ac:dyDescent="0.15">
      <c r="B152" s="223" t="str">
        <f t="shared" si="35"/>
        <v>Cell Materials Cost, $/cell: Total cost of cell materials, $/cell</v>
      </c>
      <c r="C152" s="8" t="s">
        <v>1134</v>
      </c>
      <c r="D152" s="8"/>
      <c r="E152" s="46"/>
      <c r="F152" s="8"/>
      <c r="G152" s="105">
        <f t="shared" ref="G152:M152" ca="1" si="37">SUM(G127:G150)</f>
        <v>19.495308315754336</v>
      </c>
      <c r="H152" s="105">
        <f t="shared" ca="1" si="37"/>
        <v>19.495308315754336</v>
      </c>
      <c r="I152" s="105">
        <f t="shared" ca="1" si="37"/>
        <v>19.495308315754336</v>
      </c>
      <c r="J152" s="105">
        <f t="shared" ca="1" si="37"/>
        <v>19.495308315754336</v>
      </c>
      <c r="K152" s="105">
        <f t="shared" ca="1" si="37"/>
        <v>19.495308315754336</v>
      </c>
      <c r="L152" s="105">
        <f t="shared" ca="1" si="37"/>
        <v>19.495308315754336</v>
      </c>
      <c r="M152" s="105">
        <f t="shared" ca="1" si="37"/>
        <v>19.495308315754336</v>
      </c>
      <c r="T152" s="8"/>
      <c r="W152" s="115"/>
    </row>
    <row r="153" spans="2:23" x14ac:dyDescent="0.15">
      <c r="B153" s="223"/>
      <c r="C153" s="8"/>
      <c r="D153" s="8"/>
      <c r="E153" s="46"/>
      <c r="F153" s="8"/>
      <c r="G153" s="115"/>
      <c r="H153" s="115"/>
      <c r="I153" s="115"/>
      <c r="J153" s="115"/>
      <c r="K153" s="115"/>
      <c r="L153" s="115"/>
      <c r="M153" s="115"/>
      <c r="T153" s="8"/>
      <c r="W153" s="115"/>
    </row>
    <row r="154" spans="2:23" ht="16" x14ac:dyDescent="0.2">
      <c r="B154" s="5" t="s">
        <v>1135</v>
      </c>
      <c r="C154" s="26"/>
      <c r="D154" s="26"/>
      <c r="E154" s="81" t="s">
        <v>1100</v>
      </c>
      <c r="F154" s="81" t="s">
        <v>1101</v>
      </c>
      <c r="G154" s="115"/>
      <c r="H154" s="115"/>
      <c r="I154" s="115"/>
      <c r="J154" s="115"/>
      <c r="K154" s="115"/>
      <c r="L154" s="115"/>
      <c r="M154" s="115"/>
      <c r="T154" s="8"/>
      <c r="W154" s="115"/>
    </row>
    <row r="155" spans="2:23" x14ac:dyDescent="0.15">
      <c r="B155" s="223" t="str">
        <f>$B$154 &amp; ": " &amp; C155</f>
        <v>Cost of Module Purchased Items, $/module: Aluminum thermal conductors, $/module</v>
      </c>
      <c r="C155" s="8" t="s">
        <v>1136</v>
      </c>
      <c r="D155" s="8"/>
      <c r="E155" s="112"/>
      <c r="F155" s="164">
        <f>'Cost Input'!G$75</f>
        <v>0.85</v>
      </c>
      <c r="G155" s="115">
        <f ca="1">'Battery Design'!G342/1000*'Cost Input'!$F48+'Battery Design'!G25*'Cost Input'!$G48*('Cost Input'!$F346/(G33*G9))^(1-$F155)</f>
        <v>4.5067309648129594</v>
      </c>
      <c r="H155" s="115">
        <f ca="1">'Battery Design'!H342/1000*'Cost Input'!$F48+'Battery Design'!H25*'Cost Input'!$G48*('Cost Input'!$F346/(H33*H9))^(1-$F155)</f>
        <v>4.5067309648129594</v>
      </c>
      <c r="I155" s="115">
        <f ca="1">'Battery Design'!I342/1000*'Cost Input'!$F48+'Battery Design'!I25*'Cost Input'!$G48*('Cost Input'!$F346/(I33*I9))^(1-$F155)</f>
        <v>4.5067309648129594</v>
      </c>
      <c r="J155" s="115">
        <f ca="1">'Battery Design'!J342/1000*'Cost Input'!$F48+'Battery Design'!J25*'Cost Input'!$G48*('Cost Input'!$F346/(J33*J9))^(1-$F155)</f>
        <v>4.5067309648129594</v>
      </c>
      <c r="K155" s="115">
        <f ca="1">'Battery Design'!K342/1000*'Cost Input'!$F48+'Battery Design'!K25*'Cost Input'!$G48*('Cost Input'!$F346/(K33*K9))^(1-$F155)</f>
        <v>4.5067309648129594</v>
      </c>
      <c r="L155" s="115">
        <f ca="1">'Battery Design'!L342/1000*'Cost Input'!$F48+'Battery Design'!L25*'Cost Input'!$G48*('Cost Input'!$F346/(L33*L9))^(1-$F155)</f>
        <v>4.5067309648129594</v>
      </c>
      <c r="M155" s="115">
        <f ca="1">'Battery Design'!M342/1000*'Cost Input'!$F48+'Battery Design'!M25*'Cost Input'!$G48*('Cost Input'!$F346/(M33*M9))^(1-$F155)</f>
        <v>4.5067309648129594</v>
      </c>
      <c r="N155" s="115" t="e">
        <f>'Battery Design'!N342/1000*'Cost Input'!$F48+'Battery Design'!N25*'Cost Input'!$G48*('Cost Input'!$F346/(N33*N9))^(1-$F155)</f>
        <v>#DIV/0!</v>
      </c>
      <c r="T155" s="8"/>
      <c r="W155" s="115"/>
    </row>
    <row r="156" spans="2:23" x14ac:dyDescent="0.15">
      <c r="B156" s="223"/>
      <c r="C156" s="8" t="s">
        <v>1137</v>
      </c>
      <c r="D156" s="8"/>
      <c r="E156" s="8"/>
      <c r="F156" s="164"/>
      <c r="G156" s="115">
        <f ca="1">'Cost Input'!$F53*'Battery Design'!G25/'Battery Design'!G26+'Cost Input'!$G53*'Battery Design'!G36</f>
        <v>24.076382794771284</v>
      </c>
      <c r="H156" s="115">
        <f ca="1">'Cost Input'!$F53*'Battery Design'!H25/'Battery Design'!H26+'Cost Input'!$G53*'Battery Design'!H36</f>
        <v>24.076382794771284</v>
      </c>
      <c r="I156" s="115">
        <f ca="1">'Cost Input'!$F53*'Battery Design'!I25/'Battery Design'!I26+'Cost Input'!$G53*'Battery Design'!I36</f>
        <v>24.076382794771284</v>
      </c>
      <c r="J156" s="115">
        <f ca="1">'Cost Input'!$F53*'Battery Design'!J25/'Battery Design'!J26+'Cost Input'!$G53*'Battery Design'!J36</f>
        <v>24.076382794771284</v>
      </c>
      <c r="K156" s="115">
        <f ca="1">'Cost Input'!$F53*'Battery Design'!K25/'Battery Design'!K26+'Cost Input'!$G53*'Battery Design'!K36</f>
        <v>24.076382794771284</v>
      </c>
      <c r="L156" s="115">
        <f ca="1">'Cost Input'!$F53*'Battery Design'!L25/'Battery Design'!L26+'Cost Input'!$G53*'Battery Design'!L36</f>
        <v>24.076382794771284</v>
      </c>
      <c r="M156" s="115">
        <f ca="1">'Cost Input'!$F53*'Battery Design'!M25/'Battery Design'!M26+'Cost Input'!$G53*'Battery Design'!M36</f>
        <v>24.076382794771284</v>
      </c>
      <c r="N156" s="20"/>
      <c r="O156" s="20"/>
      <c r="P156" s="20"/>
      <c r="Q156" s="20"/>
      <c r="R156" s="20"/>
      <c r="S156" s="20"/>
      <c r="T156" s="127"/>
      <c r="W156" s="115"/>
    </row>
    <row r="157" spans="2:23" x14ac:dyDescent="0.15">
      <c r="B157" s="223"/>
      <c r="C157" s="8" t="s">
        <v>1138</v>
      </c>
      <c r="D157" s="8"/>
      <c r="E157" s="8"/>
      <c r="F157" s="164">
        <f>'Cost Input'!G$75</f>
        <v>0.85</v>
      </c>
      <c r="G157" s="115">
        <f ca="1">'Battery Design'!G322/1000*'Cost Input'!$F57+'Battery Design'!G321*'Cost Input'!$G57*('Cost Input'!$F344/G12)^(1-$F157)</f>
        <v>4.1086393280682101</v>
      </c>
      <c r="H157" s="115">
        <f ca="1">'Battery Design'!H322/1000*'Cost Input'!$F57+'Battery Design'!H321*'Cost Input'!$G57*('Cost Input'!$F344/H12)^(1-$F157)</f>
        <v>4.1086393280682101</v>
      </c>
      <c r="I157" s="115">
        <f ca="1">'Battery Design'!I322/1000*'Cost Input'!$F57+'Battery Design'!I321*'Cost Input'!$G57*('Cost Input'!$F344/I12)^(1-$F157)</f>
        <v>4.1086393280682101</v>
      </c>
      <c r="J157" s="115">
        <f ca="1">'Battery Design'!J322/1000*'Cost Input'!$F57+'Battery Design'!J321*'Cost Input'!$G57*('Cost Input'!$F344/J12)^(1-$F157)</f>
        <v>4.1086393280682101</v>
      </c>
      <c r="K157" s="115">
        <f ca="1">'Battery Design'!K322/1000*'Cost Input'!$F57+'Battery Design'!K321*'Cost Input'!$G57*('Cost Input'!$F344/K12)^(1-$F157)</f>
        <v>4.1086393280682101</v>
      </c>
      <c r="L157" s="115">
        <f ca="1">'Battery Design'!L322/1000*'Cost Input'!$F57+'Battery Design'!L321*'Cost Input'!$G57*('Cost Input'!$F344/L12)^(1-$F157)</f>
        <v>4.1086393280682101</v>
      </c>
      <c r="M157" s="115">
        <f ca="1">'Battery Design'!M322/1000*'Cost Input'!$F57+'Battery Design'!M321*'Cost Input'!$G57*('Cost Input'!$F344/M12)^(1-$F157)</f>
        <v>4.1086393280682101</v>
      </c>
      <c r="T157" s="8"/>
      <c r="W157" s="115"/>
    </row>
    <row r="158" spans="2:23" x14ac:dyDescent="0.15">
      <c r="B158" s="223"/>
      <c r="C158" s="9" t="s">
        <v>1139</v>
      </c>
      <c r="E158" s="112"/>
      <c r="F158" s="164">
        <f>'Cost Input'!G$75</f>
        <v>0.85</v>
      </c>
      <c r="G158" s="18">
        <f ca="1">'Battery Design'!G328/1000*'Cost Input'!$F58+2*'Cost Input'!$G58*('Cost Input'!$F343/G11)^(1-$F158)</f>
        <v>0.95449269264037229</v>
      </c>
      <c r="H158" s="18">
        <f ca="1">'Battery Design'!H328/1000*'Cost Input'!$F58+2*'Cost Input'!$G58*('Cost Input'!$F343/H11)^(1-$F158)</f>
        <v>0.95449269264037229</v>
      </c>
      <c r="I158" s="18">
        <f ca="1">'Battery Design'!I328/1000*'Cost Input'!$F58+2*'Cost Input'!$G58*('Cost Input'!$F343/I11)^(1-$F158)</f>
        <v>0.95449269264037229</v>
      </c>
      <c r="J158" s="18">
        <f ca="1">'Battery Design'!J328/1000*'Cost Input'!$F58+2*'Cost Input'!$G58*('Cost Input'!$F343/J11)^(1-$F158)</f>
        <v>0.95449269264037229</v>
      </c>
      <c r="K158" s="18">
        <f ca="1">'Battery Design'!K328/1000*'Cost Input'!$F58+2*'Cost Input'!$G58*('Cost Input'!$F343/K11)^(1-$F158)</f>
        <v>0.95449269264037229</v>
      </c>
      <c r="L158" s="18">
        <f ca="1">'Battery Design'!L328/1000*'Cost Input'!$F58+2*'Cost Input'!$G58*('Cost Input'!$F343/L11)^(1-$F158)</f>
        <v>0.95449269264037229</v>
      </c>
      <c r="M158" s="18">
        <f ca="1">'Battery Design'!M328/1000*'Cost Input'!$F58+2*'Cost Input'!$G58*('Cost Input'!$F343/M11)^(1-$F158)</f>
        <v>0.95449269264037229</v>
      </c>
      <c r="T158" s="8"/>
      <c r="W158" s="115"/>
    </row>
    <row r="159" spans="2:23" x14ac:dyDescent="0.15">
      <c r="B159" s="223"/>
      <c r="C159" s="8" t="s">
        <v>1140</v>
      </c>
      <c r="D159" s="8"/>
      <c r="E159" s="8"/>
      <c r="F159" s="164">
        <f>'Cost Input'!G$75</f>
        <v>0.85</v>
      </c>
      <c r="G159" s="115">
        <f ca="1">'Cost Input'!$F$59*'Battery Design'!G336/1000+2*'Cost Input'!$G$59*('Cost Input'!$F343/G11)^(1-$F159)</f>
        <v>0.78190152390685186</v>
      </c>
      <c r="H159" s="115">
        <f ca="1">'Cost Input'!$F$59*'Battery Design'!H336/1000+2*'Cost Input'!$G$59*('Cost Input'!$F343/H11)^(1-$F159)</f>
        <v>0.78190152390685186</v>
      </c>
      <c r="I159" s="115">
        <f ca="1">'Cost Input'!$F$59*'Battery Design'!I336/1000+2*'Cost Input'!$G$59*('Cost Input'!$F343/I11)^(1-$F159)</f>
        <v>0.78190152390685186</v>
      </c>
      <c r="J159" s="115">
        <f ca="1">'Cost Input'!$F$59*'Battery Design'!J336/1000+2*'Cost Input'!$G$59*('Cost Input'!$F343/J11)^(1-$F159)</f>
        <v>0.78190152390685186</v>
      </c>
      <c r="K159" s="115">
        <f ca="1">'Cost Input'!$F$59*'Battery Design'!K336/1000+2*'Cost Input'!$G$59*('Cost Input'!$F343/K11)^(1-$F159)</f>
        <v>0.78190152390685186</v>
      </c>
      <c r="L159" s="115">
        <f ca="1">'Cost Input'!$F$59*'Battery Design'!L336/1000+2*'Cost Input'!$G$59*('Cost Input'!$F343/L11)^(1-$F159)</f>
        <v>0.78190152390685186</v>
      </c>
      <c r="M159" s="115">
        <f ca="1">'Cost Input'!$F$59*'Battery Design'!M336/1000+2*'Cost Input'!$G$59*('Cost Input'!$F343/M11)^(1-$F159)</f>
        <v>0.78190152390685186</v>
      </c>
      <c r="T159" s="8"/>
      <c r="W159" s="115"/>
    </row>
    <row r="160" spans="2:23" x14ac:dyDescent="0.15">
      <c r="B160" s="223" t="str">
        <f>$B$154 &amp; ": " &amp; C157</f>
        <v>Cost of Module Purchased Items, $/module: Cell interconnects (copper) $/module</v>
      </c>
      <c r="C160" s="8" t="s">
        <v>1141</v>
      </c>
      <c r="D160" s="8"/>
      <c r="E160" s="8"/>
      <c r="F160" s="164">
        <f>'Cost Input'!G$75</f>
        <v>0.85</v>
      </c>
      <c r="G160" s="105">
        <f ca="1">'Battery Design'!G348/1000*'Cost Input'!$F60+'Cost Input'!$G60*('Cost Input'!$F343/G11)^(1-$F160)</f>
        <v>3.5834391735444222</v>
      </c>
      <c r="H160" s="105">
        <f ca="1">'Battery Design'!H348/1000*'Cost Input'!$F60+'Cost Input'!$G60*('Cost Input'!$F343/H11)^(1-$F160)</f>
        <v>3.5834391735444222</v>
      </c>
      <c r="I160" s="105">
        <f ca="1">'Battery Design'!I348/1000*'Cost Input'!$F60+'Cost Input'!$G60*('Cost Input'!$F343/I11)^(1-$F160)</f>
        <v>3.5834391735444222</v>
      </c>
      <c r="J160" s="105">
        <f ca="1">'Battery Design'!J348/1000*'Cost Input'!$F60+'Cost Input'!$G60*('Cost Input'!$F343/J11)^(1-$F160)</f>
        <v>3.5834391735444222</v>
      </c>
      <c r="K160" s="105">
        <f ca="1">'Battery Design'!K348/1000*'Cost Input'!$F60+'Cost Input'!$G60*('Cost Input'!$F343/K11)^(1-$F160)</f>
        <v>3.5834391735444222</v>
      </c>
      <c r="L160" s="105">
        <f ca="1">'Battery Design'!L348/1000*'Cost Input'!$F60+'Cost Input'!$G60*('Cost Input'!$F343/L11)^(1-$F160)</f>
        <v>3.5834391735444222</v>
      </c>
      <c r="M160" s="105">
        <f ca="1">'Battery Design'!M348/1000*'Cost Input'!$F60+'Cost Input'!$G60*('Cost Input'!$F343/M11)^(1-$F160)</f>
        <v>3.5834391735444222</v>
      </c>
      <c r="T160" s="8"/>
      <c r="W160" s="115"/>
    </row>
    <row r="161" spans="2:23" x14ac:dyDescent="0.15">
      <c r="B161" s="223" t="str">
        <f>$B$154 &amp; ": " &amp; C156</f>
        <v>Cost of Module Purchased Items, $/module: Module management system (MMS), $/module</v>
      </c>
      <c r="C161" s="8" t="s">
        <v>1142</v>
      </c>
      <c r="D161" s="8"/>
      <c r="E161" s="8"/>
      <c r="F161" s="164">
        <f>'Cost Input'!G$75</f>
        <v>0.85</v>
      </c>
      <c r="G161" s="115">
        <f>'Cost Input'!$G$61*('Cost Input'!$F343/G11)^(1-$F161)</f>
        <v>0.5</v>
      </c>
      <c r="H161" s="115">
        <f>'Cost Input'!$G$61*('Cost Input'!$F343/H11)^(1-$F161)</f>
        <v>0.5</v>
      </c>
      <c r="I161" s="115">
        <f>'Cost Input'!$G$61*('Cost Input'!$F343/I11)^(1-$F161)</f>
        <v>0.5</v>
      </c>
      <c r="J161" s="115">
        <f>'Cost Input'!$G$61*('Cost Input'!$F343/J11)^(1-$F161)</f>
        <v>0.5</v>
      </c>
      <c r="K161" s="115">
        <f>'Cost Input'!$G$61*('Cost Input'!$F343/K11)^(1-$F161)</f>
        <v>0.5</v>
      </c>
      <c r="L161" s="115">
        <f>'Cost Input'!$G$61*('Cost Input'!$F343/L11)^(1-$F161)</f>
        <v>0.5</v>
      </c>
      <c r="M161" s="115">
        <f>'Cost Input'!$G$61*('Cost Input'!$F343/M11)^(1-$F161)</f>
        <v>0.5</v>
      </c>
      <c r="T161" s="8"/>
      <c r="W161" s="115"/>
    </row>
    <row r="162" spans="2:23" ht="14" x14ac:dyDescent="0.15">
      <c r="B162" s="223" t="str">
        <f>$B$154 &amp; ": " &amp; C162</f>
        <v>Cost of Module Purchased Items, $/module: Total cost for module materials and purchased items, $/module</v>
      </c>
      <c r="C162" s="8" t="s">
        <v>1143</v>
      </c>
      <c r="D162" s="8"/>
      <c r="E162" s="8"/>
      <c r="F162" s="8"/>
      <c r="G162" s="115">
        <f t="shared" ref="G162:M162" ca="1" si="38">SUM(G155:G161)</f>
        <v>38.511586477744096</v>
      </c>
      <c r="H162" s="115">
        <f t="shared" ca="1" si="38"/>
        <v>38.511586477744096</v>
      </c>
      <c r="I162" s="115">
        <f t="shared" ca="1" si="38"/>
        <v>38.511586477744096</v>
      </c>
      <c r="J162" s="115">
        <f t="shared" ca="1" si="38"/>
        <v>38.511586477744096</v>
      </c>
      <c r="K162" s="115">
        <f t="shared" ca="1" si="38"/>
        <v>38.511586477744096</v>
      </c>
      <c r="L162" s="115">
        <f t="shared" ca="1" si="38"/>
        <v>38.511586477744096</v>
      </c>
      <c r="M162" s="115">
        <f t="shared" ca="1" si="38"/>
        <v>38.511586477744096</v>
      </c>
      <c r="R162" s="47"/>
      <c r="S162" s="47"/>
      <c r="T162" s="162"/>
      <c r="W162" s="115"/>
    </row>
    <row r="163" spans="2:23" ht="14" x14ac:dyDescent="0.15">
      <c r="B163" s="223"/>
      <c r="C163" s="8"/>
      <c r="D163" s="8"/>
      <c r="E163" s="8"/>
      <c r="F163" s="8"/>
      <c r="G163" s="115"/>
      <c r="H163" s="115"/>
      <c r="I163" s="115"/>
      <c r="J163" s="115"/>
      <c r="K163" s="115"/>
      <c r="L163" s="115"/>
      <c r="M163" s="115"/>
      <c r="R163" s="47"/>
      <c r="S163" s="47"/>
      <c r="T163" s="162"/>
      <c r="W163" s="115"/>
    </row>
    <row r="164" spans="2:23" ht="16" x14ac:dyDescent="0.2">
      <c r="B164" s="5" t="s">
        <v>1144</v>
      </c>
      <c r="C164" s="8"/>
      <c r="D164" s="8"/>
      <c r="E164" s="8"/>
      <c r="F164" s="8"/>
      <c r="G164" s="115"/>
      <c r="H164" s="115"/>
      <c r="I164" s="115"/>
      <c r="J164" s="115"/>
      <c r="K164" s="115"/>
      <c r="L164" s="115"/>
      <c r="M164" s="115"/>
      <c r="O164" s="47"/>
      <c r="P164" s="47"/>
      <c r="Q164" s="47"/>
      <c r="R164" s="47"/>
      <c r="S164" s="47"/>
      <c r="T164" s="162"/>
      <c r="W164" s="115"/>
    </row>
    <row r="165" spans="2:23" ht="14" x14ac:dyDescent="0.15">
      <c r="B165" s="223"/>
      <c r="C165" s="9" t="s">
        <v>1145</v>
      </c>
      <c r="D165" s="8"/>
      <c r="E165" s="8"/>
      <c r="F165" s="164"/>
      <c r="G165" s="115">
        <f ca="1">'Battery Design'!G28*(('Battery Design'!G394-'Battery Design'!G393)*'Cost Input'!$F64+'Cost Input'!$G64*('Cost Input'!$F342/G10)^(1-'Cost Input'!$G75))</f>
        <v>69.500516693369065</v>
      </c>
      <c r="H165" s="115">
        <f ca="1">'Battery Design'!H28*(('Battery Design'!H394-'Battery Design'!H393)*'Cost Input'!$F64+'Cost Input'!$G64*('Cost Input'!$F342/H10)^(1-'Cost Input'!$G75))</f>
        <v>69.500516693369065</v>
      </c>
      <c r="I165" s="115">
        <f ca="1">'Battery Design'!I28*(('Battery Design'!I394-'Battery Design'!I393)*'Cost Input'!$F64+'Cost Input'!$G64*('Cost Input'!$F342/I10)^(1-'Cost Input'!$G75))</f>
        <v>69.500516693369065</v>
      </c>
      <c r="J165" s="115">
        <f ca="1">'Battery Design'!J28*(('Battery Design'!J394-'Battery Design'!J393)*'Cost Input'!$F64+'Cost Input'!$G64*('Cost Input'!$F342/J10)^(1-'Cost Input'!$G75))</f>
        <v>69.500516693369065</v>
      </c>
      <c r="K165" s="115">
        <f ca="1">'Battery Design'!K28*(('Battery Design'!K394-'Battery Design'!K393)*'Cost Input'!$F64+'Cost Input'!$G64*('Cost Input'!$F342/K10)^(1-'Cost Input'!$G75))</f>
        <v>69.500516693369065</v>
      </c>
      <c r="L165" s="115">
        <f ca="1">'Battery Design'!L28*(('Battery Design'!L394-'Battery Design'!L393)*'Cost Input'!$F64+'Cost Input'!$G64*('Cost Input'!$F342/L10)^(1-'Cost Input'!$G75))</f>
        <v>69.500516693369065</v>
      </c>
      <c r="M165" s="115">
        <f ca="1">'Battery Design'!M28*(('Battery Design'!M394-'Battery Design'!M393)*'Cost Input'!$F64+'Cost Input'!$G64*('Cost Input'!$F342/M10)^(1-'Cost Input'!$G75))</f>
        <v>69.500516693369065</v>
      </c>
      <c r="O165" s="89"/>
      <c r="P165" s="47"/>
      <c r="Q165" s="47"/>
      <c r="R165" s="47"/>
      <c r="S165" s="47"/>
      <c r="T165" s="162"/>
      <c r="W165" s="115"/>
    </row>
    <row r="166" spans="2:23" ht="14" x14ac:dyDescent="0.15">
      <c r="B166" s="223"/>
      <c r="C166" s="8" t="s">
        <v>1146</v>
      </c>
      <c r="D166" s="8"/>
      <c r="E166" s="8"/>
      <c r="F166" s="164"/>
      <c r="G166" s="115">
        <f>'Battery Design'!G28*('Battery Design'!G27-1)*'Cost Input'!$G65</f>
        <v>3.2</v>
      </c>
      <c r="H166" s="115">
        <f>'Battery Design'!H28*('Battery Design'!H27-1)*'Cost Input'!$G65</f>
        <v>3.2</v>
      </c>
      <c r="I166" s="115">
        <f>'Battery Design'!I28*('Battery Design'!I27-1)*'Cost Input'!$G65</f>
        <v>3.2</v>
      </c>
      <c r="J166" s="115">
        <f>'Battery Design'!J28*('Battery Design'!J27-1)*'Cost Input'!$G65</f>
        <v>3.2</v>
      </c>
      <c r="K166" s="115">
        <f>'Battery Design'!K28*('Battery Design'!K27-1)*'Cost Input'!$G65</f>
        <v>3.2</v>
      </c>
      <c r="L166" s="115">
        <f>'Battery Design'!L28*('Battery Design'!L27-1)*'Cost Input'!$G65</f>
        <v>3.2</v>
      </c>
      <c r="M166" s="115">
        <f>'Battery Design'!M28*('Battery Design'!M27-1)*'Cost Input'!$G65</f>
        <v>3.2</v>
      </c>
      <c r="O166" s="47"/>
      <c r="P166" s="47"/>
      <c r="Q166" s="47"/>
      <c r="R166" s="47"/>
      <c r="S166" s="47"/>
      <c r="T166" s="162"/>
      <c r="W166" s="115"/>
    </row>
    <row r="167" spans="2:23" ht="14" x14ac:dyDescent="0.15">
      <c r="B167" s="223"/>
      <c r="C167" s="8" t="s">
        <v>1147</v>
      </c>
      <c r="D167" s="8"/>
      <c r="E167" s="8"/>
      <c r="F167" s="164"/>
      <c r="G167" s="115">
        <f ca="1">'Battery Design'!G191*('Cost Input'!$F66*'Battery Design'!G453/1000+'Cost Input'!$G66*('Cost Input'!$F343/G11)^(1-'Cost Input'!$G75))</f>
        <v>19.220024430034805</v>
      </c>
      <c r="H167" s="115">
        <f ca="1">'Battery Design'!H191*('Cost Input'!$F66*'Battery Design'!H453/1000+'Cost Input'!$G66*('Cost Input'!$F343/H11)^(1-'Cost Input'!$G75))</f>
        <v>19.220024430034805</v>
      </c>
      <c r="I167" s="115">
        <f ca="1">'Battery Design'!I191*('Cost Input'!$F66*'Battery Design'!I453/1000+'Cost Input'!$G66*('Cost Input'!$F343/I11)^(1-'Cost Input'!$G75))</f>
        <v>19.220024430034805</v>
      </c>
      <c r="J167" s="115">
        <f ca="1">'Battery Design'!J191*('Cost Input'!$F66*'Battery Design'!J453/1000+'Cost Input'!$G66*('Cost Input'!$F343/J11)^(1-'Cost Input'!$G75))</f>
        <v>19.220024430034805</v>
      </c>
      <c r="K167" s="115">
        <f ca="1">'Battery Design'!K191*('Cost Input'!$F66*'Battery Design'!K453/1000+'Cost Input'!$G66*('Cost Input'!$F343/K11)^(1-'Cost Input'!$G75))</f>
        <v>19.220024430034805</v>
      </c>
      <c r="L167" s="115">
        <f ca="1">'Battery Design'!L191*('Cost Input'!$F66*'Battery Design'!L453/1000+'Cost Input'!$G66*('Cost Input'!$F343/L11)^(1-'Cost Input'!$G75))</f>
        <v>19.220024430034805</v>
      </c>
      <c r="M167" s="115">
        <f ca="1">'Battery Design'!M191*('Cost Input'!$F66*'Battery Design'!M453/1000+'Cost Input'!$G66*('Cost Input'!$F343/M11)^(1-'Cost Input'!$G75))</f>
        <v>19.220024430034805</v>
      </c>
      <c r="O167" s="47"/>
      <c r="P167" s="47"/>
      <c r="Q167" s="47"/>
      <c r="R167" s="47"/>
      <c r="S167" s="47"/>
      <c r="T167" s="162"/>
      <c r="W167" s="115"/>
    </row>
    <row r="168" spans="2:23" ht="14" x14ac:dyDescent="0.15">
      <c r="B168" s="223"/>
      <c r="C168" s="8" t="s">
        <v>1148</v>
      </c>
      <c r="D168" s="8"/>
      <c r="E168" s="8"/>
      <c r="F168" s="164"/>
      <c r="G168" s="115">
        <f ca="1">IF('Battery Design'!G454=0,0,1)*('Battery Design'!G454/1000*'Cost Input'!$F67+'Cost Input'!$G67)</f>
        <v>9.7804168480150686</v>
      </c>
      <c r="H168" s="115">
        <f ca="1">IF('Battery Design'!H454=0,0,1)*('Battery Design'!H454/1000*'Cost Input'!$F67+'Cost Input'!$G67)</f>
        <v>9.7804168480150686</v>
      </c>
      <c r="I168" s="115">
        <f ca="1">IF('Battery Design'!I454=0,0,1)*('Battery Design'!I454/1000*'Cost Input'!$F67+'Cost Input'!$G67)</f>
        <v>9.7804168480150686</v>
      </c>
      <c r="J168" s="115">
        <f ca="1">IF('Battery Design'!J454=0,0,1)*('Battery Design'!J454/1000*'Cost Input'!$F67+'Cost Input'!$G67)</f>
        <v>9.7804168480150686</v>
      </c>
      <c r="K168" s="115">
        <f ca="1">IF('Battery Design'!K454=0,0,1)*('Battery Design'!K454/1000*'Cost Input'!$F67+'Cost Input'!$G67)</f>
        <v>9.7804168480150686</v>
      </c>
      <c r="L168" s="115">
        <f ca="1">IF('Battery Design'!L454=0,0,1)*('Battery Design'!L454/1000*'Cost Input'!$F67+'Cost Input'!$G67)</f>
        <v>9.7804168480150686</v>
      </c>
      <c r="M168" s="115">
        <f ca="1">IF('Battery Design'!M454=0,0,1)*('Battery Design'!M454/1000*'Cost Input'!$F67+'Cost Input'!$G67)</f>
        <v>9.7804168480150686</v>
      </c>
      <c r="O168" s="47"/>
      <c r="P168" s="47"/>
      <c r="Q168" s="47"/>
      <c r="R168" s="47"/>
      <c r="S168" s="47"/>
      <c r="T168" s="162"/>
      <c r="W168" s="115"/>
    </row>
    <row r="169" spans="2:23" ht="14" x14ac:dyDescent="0.15">
      <c r="B169" s="223"/>
      <c r="C169" s="8" t="s">
        <v>1149</v>
      </c>
      <c r="D169" s="8"/>
      <c r="E169" s="8"/>
      <c r="F169" s="164"/>
      <c r="G169" s="115">
        <f ca="1">'Battery Design'!G403*'Cost Input'!$F68+2*'Battery Design'!G28*'Cost Input'!$G68*('Cost Input'!$F342/G10)^(1-'Cost Input'!$G75)</f>
        <v>57.077291501117095</v>
      </c>
      <c r="H169" s="115">
        <f ca="1">'Battery Design'!H403*'Cost Input'!$F68+2*'Battery Design'!H28*'Cost Input'!$G68*('Cost Input'!$F342/H10)^(1-'Cost Input'!$G75)</f>
        <v>57.077291501117095</v>
      </c>
      <c r="I169" s="115">
        <f ca="1">'Battery Design'!I403*'Cost Input'!$F68+2*'Battery Design'!I28*'Cost Input'!$G68*('Cost Input'!$F342/I10)^(1-'Cost Input'!$G75)</f>
        <v>57.077291501117095</v>
      </c>
      <c r="J169" s="115">
        <f ca="1">'Battery Design'!J403*'Cost Input'!$F68+2*'Battery Design'!J28*'Cost Input'!$G68*('Cost Input'!$F342/J10)^(1-'Cost Input'!$G75)</f>
        <v>57.077291501117095</v>
      </c>
      <c r="K169" s="115">
        <f ca="1">'Battery Design'!K403*'Cost Input'!$F68+2*'Battery Design'!K28*'Cost Input'!$G68*('Cost Input'!$F342/K10)^(1-'Cost Input'!$G75)</f>
        <v>57.077291501117095</v>
      </c>
      <c r="L169" s="115">
        <f ca="1">'Battery Design'!L403*'Cost Input'!$F68+2*'Battery Design'!L28*'Cost Input'!$G68*('Cost Input'!$F342/L10)^(1-'Cost Input'!$G75)</f>
        <v>57.077291501117095</v>
      </c>
      <c r="M169" s="115">
        <f ca="1">'Battery Design'!M403*'Cost Input'!$F68+2*'Battery Design'!M28*'Cost Input'!$G68*('Cost Input'!$F342/M10)^(1-'Cost Input'!$G75)</f>
        <v>57.077291501117095</v>
      </c>
      <c r="O169" s="47"/>
      <c r="P169" s="47"/>
      <c r="Q169" s="47"/>
      <c r="R169" s="47"/>
      <c r="S169" s="47"/>
      <c r="T169" s="162"/>
      <c r="W169" s="115"/>
    </row>
    <row r="170" spans="2:23" ht="14" x14ac:dyDescent="0.15">
      <c r="B170" s="223"/>
      <c r="C170" s="8" t="s">
        <v>1150</v>
      </c>
      <c r="D170" s="8"/>
      <c r="E170" s="8"/>
      <c r="F170" s="164"/>
      <c r="G170" s="115">
        <f ca="1">'Battery Design'!G410*'Cost Input'!$F69+'Cost Input'!$G69*('Cost Input'!$F341/G9)^(1-'Cost Input'!$G75)</f>
        <v>9.237871201728181</v>
      </c>
      <c r="H170" s="115">
        <f ca="1">'Battery Design'!H410*'Cost Input'!$F69+'Cost Input'!$G69*('Cost Input'!$F341/H9)^(1-'Cost Input'!$G75)</f>
        <v>9.237871201728181</v>
      </c>
      <c r="I170" s="115">
        <f ca="1">'Battery Design'!I410*'Cost Input'!$F69+'Cost Input'!$G69*('Cost Input'!$F341/I9)^(1-'Cost Input'!$G75)</f>
        <v>9.237871201728181</v>
      </c>
      <c r="J170" s="115">
        <f ca="1">'Battery Design'!J410*'Cost Input'!$F69+'Cost Input'!$G69*('Cost Input'!$F341/J9)^(1-'Cost Input'!$G75)</f>
        <v>9.237871201728181</v>
      </c>
      <c r="K170" s="115">
        <f ca="1">'Battery Design'!K410*'Cost Input'!$F69+'Cost Input'!$G69*('Cost Input'!$F341/K9)^(1-'Cost Input'!$G75)</f>
        <v>9.237871201728181</v>
      </c>
      <c r="L170" s="115">
        <f ca="1">'Battery Design'!L410*'Cost Input'!$F69+'Cost Input'!$G69*('Cost Input'!$F341/L9)^(1-'Cost Input'!$G75)</f>
        <v>9.237871201728181</v>
      </c>
      <c r="M170" s="115">
        <f ca="1">'Battery Design'!M410*'Cost Input'!$F69+'Cost Input'!$G69*('Cost Input'!$F341/M9)^(1-'Cost Input'!$G75)</f>
        <v>9.237871201728181</v>
      </c>
      <c r="O170" s="47"/>
      <c r="P170" s="47"/>
      <c r="Q170" s="47"/>
      <c r="R170" s="47"/>
      <c r="S170" s="47"/>
      <c r="T170" s="162"/>
      <c r="W170" s="115"/>
    </row>
    <row r="171" spans="2:23" ht="14" x14ac:dyDescent="0.15">
      <c r="B171" s="223"/>
      <c r="C171" s="8" t="s">
        <v>1151</v>
      </c>
      <c r="D171" s="8"/>
      <c r="E171" s="8"/>
      <c r="F171" s="164"/>
      <c r="G171" s="115">
        <f ca="1">'Battery Design'!G455/1000*0.9*'Cost Input'!$F70+2*'Cost Input'!$G70*('Cost Input'!$F341/G9)^(1-'Cost Input'!$G75)</f>
        <v>5.5882180949098181</v>
      </c>
      <c r="H171" s="115">
        <f ca="1">'Battery Design'!H455/1000*0.9*'Cost Input'!$F70+2*'Cost Input'!$G70*('Cost Input'!$F341/H9)^(1-'Cost Input'!$G75)</f>
        <v>5.5882180949098181</v>
      </c>
      <c r="I171" s="115">
        <f ca="1">'Battery Design'!I455/1000*0.9*'Cost Input'!$F70+2*'Cost Input'!$G70*('Cost Input'!$F341/I9)^(1-'Cost Input'!$G75)</f>
        <v>5.5882180949098181</v>
      </c>
      <c r="J171" s="115">
        <f ca="1">'Battery Design'!J455/1000*0.9*'Cost Input'!$F70+2*'Cost Input'!$G70*('Cost Input'!$F341/J9)^(1-'Cost Input'!$G75)</f>
        <v>5.5882180949098181</v>
      </c>
      <c r="K171" s="115">
        <f ca="1">'Battery Design'!K455/1000*0.9*'Cost Input'!$F70+2*'Cost Input'!$G70*('Cost Input'!$F341/K9)^(1-'Cost Input'!$G75)</f>
        <v>5.5882180949098181</v>
      </c>
      <c r="L171" s="115">
        <f ca="1">'Battery Design'!L455/1000*0.9*'Cost Input'!$F70+2*'Cost Input'!$G70*('Cost Input'!$F341/L9)^(1-'Cost Input'!$G75)</f>
        <v>5.5882180949098181</v>
      </c>
      <c r="M171" s="115">
        <f ca="1">'Battery Design'!M455/1000*0.9*'Cost Input'!$F70+2*'Cost Input'!$G70*('Cost Input'!$F341/M9)^(1-'Cost Input'!$G75)</f>
        <v>5.5882180949098181</v>
      </c>
      <c r="O171" s="47"/>
      <c r="P171" s="47"/>
      <c r="Q171" s="47"/>
      <c r="R171" s="47"/>
      <c r="S171" s="47"/>
      <c r="T171" s="162"/>
      <c r="W171" s="115"/>
    </row>
    <row r="172" spans="2:23" ht="14" x14ac:dyDescent="0.15">
      <c r="B172" s="223"/>
      <c r="C172" s="8" t="s">
        <v>1152</v>
      </c>
      <c r="D172" s="8"/>
      <c r="E172" s="8"/>
      <c r="F172" s="164"/>
      <c r="G172" s="115">
        <f ca="1">'Battery Design'!G434*'Cost Input'!$F71+'Cost Input'!$G71*('Cost Input'!$F341/G9)^(1-'Cost Input'!$G75)</f>
        <v>22.815128927301192</v>
      </c>
      <c r="H172" s="115">
        <f ca="1">'Battery Design'!H434*'Cost Input'!$F71+'Cost Input'!$G71*('Cost Input'!$F341/H9)^(1-'Cost Input'!$G75)</f>
        <v>22.815128927301192</v>
      </c>
      <c r="I172" s="115">
        <f ca="1">'Battery Design'!I434*'Cost Input'!$F71+'Cost Input'!$G71*('Cost Input'!$F341/I9)^(1-'Cost Input'!$G75)</f>
        <v>22.815128927301192</v>
      </c>
      <c r="J172" s="115">
        <f ca="1">'Battery Design'!J434*'Cost Input'!$F71+'Cost Input'!$G71*('Cost Input'!$F341/J9)^(1-'Cost Input'!$G75)</f>
        <v>22.815128927301192</v>
      </c>
      <c r="K172" s="115">
        <f ca="1">'Battery Design'!K434*'Cost Input'!$F71+'Cost Input'!$G71*('Cost Input'!$F341/K9)^(1-'Cost Input'!$G75)</f>
        <v>22.815128927301192</v>
      </c>
      <c r="L172" s="115">
        <f ca="1">'Battery Design'!L434*'Cost Input'!$F71+'Cost Input'!$G71*('Cost Input'!$F341/L9)^(1-'Cost Input'!$G75)</f>
        <v>22.815128927301192</v>
      </c>
      <c r="M172" s="115">
        <f ca="1">'Battery Design'!M434*'Cost Input'!$F71+'Cost Input'!$G71*('Cost Input'!$F341/M9)^(1-'Cost Input'!$G75)</f>
        <v>22.815128927301192</v>
      </c>
      <c r="N172" s="115" t="e">
        <f>'Battery Design'!N434*'Cost Input'!$F71+'Cost Input'!$G71*('Cost Input'!$F341/N9)^(1-'Cost Input'!$G75)</f>
        <v>#DIV/0!</v>
      </c>
      <c r="O172" s="89"/>
      <c r="P172" s="47"/>
      <c r="Q172" s="47"/>
      <c r="R172" s="47"/>
      <c r="S172" s="47"/>
      <c r="T172" s="162"/>
      <c r="W172" s="115"/>
    </row>
    <row r="173" spans="2:23" ht="14" x14ac:dyDescent="0.15">
      <c r="B173" s="223"/>
      <c r="C173" s="8" t="s">
        <v>1153</v>
      </c>
      <c r="D173" s="8"/>
      <c r="E173" s="8"/>
      <c r="F173" s="164"/>
      <c r="G173" s="115">
        <f ca="1">('Battery Design'!G444+'Battery Design'!G435)*'Cost Input'!$F72+'Cost Input'!$G72*('Cost Input'!$F341/G9)^(1-'Cost Input'!$G75)</f>
        <v>118.48815311620737</v>
      </c>
      <c r="H173" s="115">
        <f ca="1">('Battery Design'!H444+'Battery Design'!H435)*'Cost Input'!$F72+'Cost Input'!$G72*('Cost Input'!$F341/H9)^(1-'Cost Input'!$G75)</f>
        <v>118.48815311620737</v>
      </c>
      <c r="I173" s="115">
        <f ca="1">('Battery Design'!I444+'Battery Design'!I435)*'Cost Input'!$F72+'Cost Input'!$G72*('Cost Input'!$F341/I9)^(1-'Cost Input'!$G75)</f>
        <v>118.48815311620737</v>
      </c>
      <c r="J173" s="115">
        <f ca="1">('Battery Design'!J444+'Battery Design'!J435)*'Cost Input'!$F72+'Cost Input'!$G72*('Cost Input'!$F341/J9)^(1-'Cost Input'!$G75)</f>
        <v>118.48815311620737</v>
      </c>
      <c r="K173" s="115">
        <f ca="1">('Battery Design'!K444+'Battery Design'!K435)*'Cost Input'!$F72+'Cost Input'!$G72*('Cost Input'!$F341/K9)^(1-'Cost Input'!$G75)</f>
        <v>118.48815311620737</v>
      </c>
      <c r="L173" s="115">
        <f ca="1">('Battery Design'!L444+'Battery Design'!L435)*'Cost Input'!$F72+'Cost Input'!$G72*('Cost Input'!$F341/L9)^(1-'Cost Input'!$G75)</f>
        <v>118.48815311620737</v>
      </c>
      <c r="M173" s="115">
        <f ca="1">('Battery Design'!M444+'Battery Design'!M435)*'Cost Input'!$F72+'Cost Input'!$G72*('Cost Input'!$F341/M9)^(1-'Cost Input'!$G75)</f>
        <v>118.48815311620737</v>
      </c>
      <c r="N173" s="1099" t="e">
        <f>('Battery Design'!N436+'Battery Design'!N444)*'Cost Input'!$F72+'Cost Input'!$G72*('Cost Input'!$F341/N9)^(1-'Cost Input'!$G75)</f>
        <v>#DIV/0!</v>
      </c>
      <c r="O173" s="89"/>
      <c r="P173" s="47"/>
      <c r="Q173" s="47"/>
      <c r="R173" s="47"/>
      <c r="S173" s="47"/>
      <c r="T173" s="162"/>
      <c r="W173" s="115"/>
    </row>
    <row r="174" spans="2:23" ht="14" x14ac:dyDescent="0.15">
      <c r="B174" s="223"/>
      <c r="C174" s="8" t="s">
        <v>1154</v>
      </c>
      <c r="D174" s="8"/>
      <c r="E174" s="8"/>
      <c r="F174" s="164"/>
      <c r="G174" s="115">
        <f ca="1">'Battery Design'!G436*'Cost Input'!$F73+'Cost Input'!$G73*('Cost Input'!$F341/G9)^(1-'Cost Input'!$G75)</f>
        <v>33.139486386236079</v>
      </c>
      <c r="H174" s="115">
        <f ca="1">'Battery Design'!H436*'Cost Input'!$F73+'Cost Input'!$G73*('Cost Input'!$F341/H9)^(1-'Cost Input'!$G75)</f>
        <v>33.139486386236079</v>
      </c>
      <c r="I174" s="115">
        <f ca="1">'Battery Design'!I436*'Cost Input'!$F73+'Cost Input'!$G73*('Cost Input'!$F341/I9)^(1-'Cost Input'!$G75)</f>
        <v>33.139486386236079</v>
      </c>
      <c r="J174" s="115">
        <f ca="1">'Battery Design'!J436*'Cost Input'!$F73+'Cost Input'!$G73*('Cost Input'!$F341/J9)^(1-'Cost Input'!$G75)</f>
        <v>33.139486386236079</v>
      </c>
      <c r="K174" s="115">
        <f ca="1">'Battery Design'!K436*'Cost Input'!$F73+'Cost Input'!$G73*('Cost Input'!$F341/K9)^(1-'Cost Input'!$G75)</f>
        <v>33.139486386236079</v>
      </c>
      <c r="L174" s="115">
        <f ca="1">'Battery Design'!L436*'Cost Input'!$F73+'Cost Input'!$G73*('Cost Input'!$F341/L9)^(1-'Cost Input'!$G75)</f>
        <v>33.139486386236079</v>
      </c>
      <c r="M174" s="115">
        <f ca="1">'Battery Design'!M436*'Cost Input'!$F73+'Cost Input'!$G73*('Cost Input'!$F341/M9)^(1-'Cost Input'!$G75)</f>
        <v>33.139486386236079</v>
      </c>
      <c r="N174" s="1099"/>
      <c r="O174" s="89"/>
      <c r="P174" s="47"/>
      <c r="Q174" s="47"/>
      <c r="R174" s="47"/>
      <c r="S174" s="47"/>
      <c r="T174" s="162"/>
      <c r="W174" s="115"/>
    </row>
    <row r="175" spans="2:23" ht="14" x14ac:dyDescent="0.15">
      <c r="B175" s="223"/>
      <c r="C175" s="8" t="s">
        <v>1155</v>
      </c>
      <c r="D175" s="8"/>
      <c r="E175" s="8"/>
      <c r="F175" s="164"/>
      <c r="G175" s="115">
        <f ca="1">('Battery Design'!G437+'Battery Design'!G445)*'Cost Input'!$E74</f>
        <v>18.749923696576886</v>
      </c>
      <c r="H175" s="115">
        <f ca="1">('Battery Design'!H437+'Battery Design'!H445)*'Cost Input'!$E74</f>
        <v>18.749923696576886</v>
      </c>
      <c r="I175" s="115">
        <f ca="1">('Battery Design'!I437+'Battery Design'!I445)*'Cost Input'!$E74</f>
        <v>18.749923696576886</v>
      </c>
      <c r="J175" s="115">
        <f ca="1">('Battery Design'!J437+'Battery Design'!J445)*'Cost Input'!$E74</f>
        <v>18.749923696576886</v>
      </c>
      <c r="K175" s="115">
        <f ca="1">('Battery Design'!K437+'Battery Design'!K445)*'Cost Input'!$E74</f>
        <v>18.749923696576886</v>
      </c>
      <c r="L175" s="115">
        <f ca="1">('Battery Design'!L437+'Battery Design'!L445)*'Cost Input'!$E74</f>
        <v>18.749923696576886</v>
      </c>
      <c r="M175" s="115">
        <f ca="1">('Battery Design'!M437+'Battery Design'!M445)*'Cost Input'!$E74</f>
        <v>18.749923696576886</v>
      </c>
      <c r="O175" s="47"/>
      <c r="P175" s="47"/>
      <c r="Q175" s="47"/>
      <c r="R175" s="47"/>
      <c r="S175" s="47"/>
      <c r="T175" s="162"/>
      <c r="W175" s="115"/>
    </row>
    <row r="176" spans="2:23" x14ac:dyDescent="0.15">
      <c r="B176" s="223"/>
      <c r="C176" s="8" t="s">
        <v>1156</v>
      </c>
      <c r="D176" s="8"/>
      <c r="E176" s="8"/>
      <c r="F176" s="164"/>
      <c r="G176" s="115">
        <f ca="1">Thermal!G158</f>
        <v>80</v>
      </c>
      <c r="H176" s="115">
        <f ca="1">Thermal!H158</f>
        <v>80</v>
      </c>
      <c r="I176" s="115">
        <f ca="1">Thermal!I158</f>
        <v>80</v>
      </c>
      <c r="J176" s="115">
        <f ca="1">Thermal!J158</f>
        <v>80</v>
      </c>
      <c r="K176" s="115">
        <f ca="1">Thermal!K158</f>
        <v>80</v>
      </c>
      <c r="L176" s="115">
        <f ca="1">Thermal!L158</f>
        <v>80</v>
      </c>
      <c r="M176" s="115">
        <f ca="1">Thermal!M158</f>
        <v>80</v>
      </c>
      <c r="N176" s="19">
        <f>Thermal!N158</f>
        <v>0</v>
      </c>
      <c r="O176" s="47"/>
      <c r="P176" s="47"/>
      <c r="Q176" s="47"/>
      <c r="R176" s="47"/>
      <c r="S176" s="47"/>
      <c r="T176" s="89"/>
      <c r="W176" s="115"/>
    </row>
    <row r="177" spans="2:23" x14ac:dyDescent="0.15">
      <c r="B177" s="223"/>
      <c r="C177" s="8" t="s">
        <v>1157</v>
      </c>
      <c r="D177" s="8"/>
      <c r="E177" s="8"/>
      <c r="F177" s="164"/>
      <c r="G177" s="115">
        <f>'Vehicle Considerations'!$B$33</f>
        <v>20</v>
      </c>
      <c r="H177" s="115">
        <f>'Vehicle Considerations'!$B$33</f>
        <v>20</v>
      </c>
      <c r="I177" s="115">
        <f>'Vehicle Considerations'!$B$33</f>
        <v>20</v>
      </c>
      <c r="J177" s="115">
        <f>'Vehicle Considerations'!$B$33</f>
        <v>20</v>
      </c>
      <c r="K177" s="115">
        <f>'Vehicle Considerations'!$B$33</f>
        <v>20</v>
      </c>
      <c r="L177" s="115">
        <f>'Vehicle Considerations'!$B$33</f>
        <v>20</v>
      </c>
      <c r="M177" s="115">
        <f>'Vehicle Considerations'!$B$33</f>
        <v>20</v>
      </c>
      <c r="N177" s="546" t="s">
        <v>1158</v>
      </c>
      <c r="O177" s="562"/>
      <c r="P177" s="47"/>
      <c r="Q177" s="47"/>
      <c r="R177" s="47"/>
      <c r="S177" s="47"/>
      <c r="T177" s="89"/>
      <c r="W177" s="115"/>
    </row>
    <row r="178" spans="2:23" x14ac:dyDescent="0.15">
      <c r="B178" s="223"/>
      <c r="C178" s="8" t="s">
        <v>1159</v>
      </c>
      <c r="D178" s="8"/>
      <c r="E178" s="8"/>
      <c r="F178" s="8"/>
      <c r="G178" s="115">
        <f ca="1">SUM(G165:G177)</f>
        <v>466.79703089549554</v>
      </c>
      <c r="H178" s="115">
        <f t="shared" ref="H178:M178" ca="1" si="39">SUM(H165:H177)</f>
        <v>466.79703089549554</v>
      </c>
      <c r="I178" s="115">
        <f t="shared" ca="1" si="39"/>
        <v>466.79703089549554</v>
      </c>
      <c r="J178" s="115">
        <f t="shared" ca="1" si="39"/>
        <v>466.79703089549554</v>
      </c>
      <c r="K178" s="115">
        <f t="shared" ca="1" si="39"/>
        <v>466.79703089549554</v>
      </c>
      <c r="L178" s="115">
        <f t="shared" ca="1" si="39"/>
        <v>466.79703089549554</v>
      </c>
      <c r="M178" s="115">
        <f t="shared" ca="1" si="39"/>
        <v>466.79703089549554</v>
      </c>
      <c r="N178" s="68"/>
      <c r="P178" s="47"/>
      <c r="Q178" s="47"/>
      <c r="R178" s="47"/>
      <c r="S178" s="47"/>
      <c r="T178" s="89"/>
      <c r="W178" s="115"/>
    </row>
    <row r="179" spans="2:23" ht="16" x14ac:dyDescent="0.2">
      <c r="B179" s="5"/>
      <c r="C179" s="8" t="s">
        <v>1160</v>
      </c>
      <c r="D179" s="8"/>
      <c r="E179" s="8"/>
      <c r="F179" s="8"/>
      <c r="G179" s="115">
        <f ca="1">BMS!G133</f>
        <v>354.3728995446063</v>
      </c>
      <c r="H179" s="115">
        <f ca="1">BMS!H133</f>
        <v>354.3728995446063</v>
      </c>
      <c r="I179" s="115">
        <f ca="1">BMS!I133</f>
        <v>354.3728995446063</v>
      </c>
      <c r="J179" s="115">
        <f ca="1">BMS!J133</f>
        <v>354.3728995446063</v>
      </c>
      <c r="K179" s="115">
        <f ca="1">BMS!K133</f>
        <v>354.3728995446063</v>
      </c>
      <c r="L179" s="115">
        <f ca="1">BMS!L133</f>
        <v>354.3728995446063</v>
      </c>
      <c r="M179" s="115">
        <f ca="1">BMS!M133</f>
        <v>354.3728995446063</v>
      </c>
      <c r="N179" s="8"/>
      <c r="O179" s="8"/>
      <c r="P179" s="8"/>
      <c r="Q179" s="8"/>
    </row>
    <row r="180" spans="2:23" ht="16" x14ac:dyDescent="0.2">
      <c r="B180" s="5"/>
      <c r="C180" s="8"/>
      <c r="D180" s="8"/>
      <c r="E180" s="8"/>
      <c r="F180" s="8"/>
      <c r="G180" s="115"/>
      <c r="H180" s="115"/>
      <c r="I180" s="115"/>
      <c r="J180" s="115"/>
      <c r="K180" s="115"/>
      <c r="L180" s="115"/>
      <c r="M180" s="115"/>
      <c r="N180" s="8"/>
      <c r="O180" s="8"/>
      <c r="P180" s="8"/>
      <c r="Q180" s="8"/>
    </row>
    <row r="181" spans="2:23" ht="16" x14ac:dyDescent="0.2">
      <c r="B181" s="5" t="s">
        <v>1161</v>
      </c>
      <c r="C181" s="8"/>
      <c r="D181" s="8"/>
      <c r="E181" s="8"/>
      <c r="F181" s="8"/>
      <c r="G181" s="115"/>
      <c r="H181" s="115"/>
      <c r="I181" s="115"/>
      <c r="J181" s="115"/>
      <c r="K181" s="115"/>
      <c r="L181" s="115"/>
      <c r="M181" s="115"/>
      <c r="N181" s="8"/>
      <c r="O181" s="8"/>
      <c r="P181" s="8"/>
      <c r="Q181" s="8"/>
    </row>
    <row r="182" spans="2:23" x14ac:dyDescent="0.15">
      <c r="C182" s="9" t="s">
        <v>1162</v>
      </c>
      <c r="D182" s="8"/>
      <c r="E182" s="8"/>
      <c r="F182" s="8"/>
      <c r="G182" s="115">
        <f ca="1">ROUNDUP('Battery Design'!G465,-3)/1000*'Vehicle Considerations'!$B$32</f>
        <v>40</v>
      </c>
      <c r="H182" s="115">
        <f ca="1">ROUNDUP('Battery Design'!H465,-3)/1000*'Vehicle Considerations'!$B$32</f>
        <v>40</v>
      </c>
      <c r="I182" s="115">
        <f ca="1">ROUNDUP('Battery Design'!I465,-3)/1000*'Vehicle Considerations'!$B$32</f>
        <v>40</v>
      </c>
      <c r="J182" s="115">
        <f ca="1">ROUNDUP('Battery Design'!J465,-3)/1000*'Vehicle Considerations'!$B$32</f>
        <v>40</v>
      </c>
      <c r="K182" s="115">
        <f ca="1">ROUNDUP('Battery Design'!K465,-3)/1000*'Vehicle Considerations'!$B$32</f>
        <v>40</v>
      </c>
      <c r="L182" s="115">
        <f ca="1">ROUNDUP('Battery Design'!L465,-3)/1000*'Vehicle Considerations'!$B$32</f>
        <v>40</v>
      </c>
      <c r="M182" s="115">
        <f ca="1">ROUNDUP('Battery Design'!M465,-3)/1000*'Vehicle Considerations'!$B$32</f>
        <v>40</v>
      </c>
      <c r="N182" s="546" t="s">
        <v>1158</v>
      </c>
      <c r="O182" s="562"/>
    </row>
    <row r="183" spans="2:23" x14ac:dyDescent="0.15">
      <c r="C183" s="8" t="s">
        <v>1163</v>
      </c>
      <c r="D183" s="8"/>
      <c r="E183" s="8"/>
      <c r="F183" s="8"/>
      <c r="G183" s="115">
        <f>IF('Battery Design'!G12&gt;1,('Battery Design'!G12-1)*'Vehicle Considerations'!$B$23,0)</f>
        <v>0</v>
      </c>
      <c r="H183" s="115">
        <f>IF('Battery Design'!H12&gt;1,('Battery Design'!H12-1)*'Vehicle Considerations'!$B$23,0)</f>
        <v>0</v>
      </c>
      <c r="I183" s="115">
        <f>IF('Battery Design'!I12&gt;1,('Battery Design'!I12-1)*'Vehicle Considerations'!$B$23,0)</f>
        <v>0</v>
      </c>
      <c r="J183" s="115">
        <f>IF('Battery Design'!J12&gt;1,('Battery Design'!J12-1)*'Vehicle Considerations'!$B$23,0)</f>
        <v>0</v>
      </c>
      <c r="K183" s="115">
        <f>IF('Battery Design'!K12&gt;1,('Battery Design'!K12-1)*'Vehicle Considerations'!$B$23,0)</f>
        <v>0</v>
      </c>
      <c r="L183" s="115">
        <f>IF('Battery Design'!L12&gt;1,('Battery Design'!L12-1)*'Vehicle Considerations'!$B$23,0)</f>
        <v>0</v>
      </c>
      <c r="M183" s="115">
        <f>IF('Battery Design'!M12&gt;1,('Battery Design'!M12-1)*'Vehicle Considerations'!$B$23,0)</f>
        <v>0</v>
      </c>
    </row>
    <row r="184" spans="2:23" x14ac:dyDescent="0.15">
      <c r="B184" s="8"/>
      <c r="C184" s="8" t="s">
        <v>1164</v>
      </c>
      <c r="D184" s="8"/>
      <c r="E184" s="8"/>
      <c r="F184" s="8"/>
      <c r="G184" s="115">
        <f t="shared" ref="G184:M184" ca="1" si="40">SUM(G182:G183)</f>
        <v>40</v>
      </c>
      <c r="H184" s="115">
        <f t="shared" ca="1" si="40"/>
        <v>40</v>
      </c>
      <c r="I184" s="115">
        <f t="shared" ca="1" si="40"/>
        <v>40</v>
      </c>
      <c r="J184" s="115">
        <f t="shared" ca="1" si="40"/>
        <v>40</v>
      </c>
      <c r="K184" s="115">
        <f t="shared" ca="1" si="40"/>
        <v>40</v>
      </c>
      <c r="L184" s="115">
        <f t="shared" ca="1" si="40"/>
        <v>40</v>
      </c>
      <c r="M184" s="115">
        <f t="shared" ca="1" si="40"/>
        <v>40</v>
      </c>
    </row>
    <row r="185" spans="2:23" ht="17" thickBot="1" x14ac:dyDescent="0.25">
      <c r="B185" s="5"/>
      <c r="C185" s="8"/>
      <c r="D185" s="8"/>
      <c r="E185" s="8"/>
      <c r="F185" s="8"/>
      <c r="G185" s="115"/>
      <c r="H185" s="115"/>
      <c r="I185" s="115"/>
      <c r="J185" s="115"/>
      <c r="K185" s="115"/>
      <c r="L185" s="115"/>
      <c r="M185" s="115"/>
    </row>
    <row r="186" spans="2:23" ht="21" thickBot="1" x14ac:dyDescent="0.25">
      <c r="B186" s="1262" t="s">
        <v>1165</v>
      </c>
      <c r="C186" s="1263"/>
      <c r="D186" s="1263"/>
      <c r="E186" s="1263"/>
      <c r="F186" s="1263"/>
      <c r="G186" s="1263"/>
      <c r="H186" s="1263"/>
      <c r="I186" s="1263"/>
      <c r="J186" s="1263"/>
      <c r="K186" s="1263"/>
      <c r="L186" s="1263"/>
      <c r="M186" s="1264"/>
    </row>
    <row r="187" spans="2:23" ht="17" thickBot="1" x14ac:dyDescent="0.25">
      <c r="B187" s="9"/>
      <c r="C187" s="5"/>
      <c r="D187" s="5"/>
      <c r="E187" s="8"/>
      <c r="F187" s="8"/>
      <c r="G187" s="78"/>
      <c r="H187" s="78"/>
      <c r="I187" s="78"/>
      <c r="J187" s="78"/>
      <c r="K187" s="78"/>
      <c r="L187" s="78"/>
      <c r="M187" s="78"/>
    </row>
    <row r="188" spans="2:23" ht="19" thickBot="1" x14ac:dyDescent="0.25">
      <c r="B188" s="1335" t="s">
        <v>1166</v>
      </c>
      <c r="C188" s="1336"/>
      <c r="D188" s="1336"/>
      <c r="E188" s="1336"/>
      <c r="F188" s="1336"/>
      <c r="G188" s="1336"/>
      <c r="H188" s="1336"/>
      <c r="I188" s="1336"/>
      <c r="J188" s="1336"/>
      <c r="K188" s="1336"/>
      <c r="L188" s="1336"/>
      <c r="M188" s="1337"/>
    </row>
    <row r="189" spans="2:23" ht="16" x14ac:dyDescent="0.2">
      <c r="B189" s="9"/>
      <c r="C189" s="5"/>
      <c r="D189" s="5"/>
      <c r="E189" s="8"/>
      <c r="F189" s="8"/>
      <c r="G189" s="78"/>
      <c r="H189" s="78"/>
      <c r="I189" s="78"/>
      <c r="J189" s="78"/>
      <c r="K189" s="78"/>
      <c r="L189" s="78"/>
      <c r="M189" s="78"/>
    </row>
    <row r="190" spans="2:23" ht="14" x14ac:dyDescent="0.15">
      <c r="B190" s="1338" t="s">
        <v>1167</v>
      </c>
      <c r="C190" s="1340"/>
      <c r="D190" s="694" t="s">
        <v>249</v>
      </c>
      <c r="F190" s="8"/>
      <c r="G190" s="78"/>
      <c r="H190" s="78"/>
      <c r="I190" s="78"/>
      <c r="J190" s="78"/>
      <c r="K190" s="78"/>
      <c r="L190" s="78"/>
      <c r="M190" s="78"/>
      <c r="O190" s="8"/>
    </row>
    <row r="191" spans="2:23" ht="14" x14ac:dyDescent="0.15">
      <c r="B191" s="80"/>
      <c r="C191" s="9"/>
      <c r="D191" s="9"/>
      <c r="G191" s="1214"/>
      <c r="H191" s="1214"/>
      <c r="I191" s="1214"/>
      <c r="J191" s="1214"/>
      <c r="K191" s="1214"/>
      <c r="L191" s="1214"/>
      <c r="M191" s="1214"/>
    </row>
    <row r="192" spans="2:23" ht="16" x14ac:dyDescent="0.2">
      <c r="B192" s="5" t="s">
        <v>1168</v>
      </c>
      <c r="C192" s="26"/>
      <c r="D192" s="26"/>
      <c r="E192" s="84" t="s">
        <v>1100</v>
      </c>
      <c r="F192" s="26"/>
      <c r="G192" s="10"/>
      <c r="H192" s="10"/>
      <c r="I192" s="10"/>
      <c r="J192" s="10"/>
      <c r="K192" s="10"/>
      <c r="L192" s="10"/>
      <c r="M192" s="10"/>
      <c r="O192" s="44"/>
    </row>
    <row r="193" spans="2:16" ht="14" x14ac:dyDescent="0.15">
      <c r="B193" s="507" t="s">
        <v>1169</v>
      </c>
      <c r="C193" s="8"/>
      <c r="D193" s="8"/>
      <c r="E193" s="548" t="s">
        <v>1170</v>
      </c>
      <c r="F193" s="81" t="s">
        <v>1101</v>
      </c>
      <c r="G193" s="10"/>
      <c r="H193" s="10"/>
      <c r="I193" s="10"/>
      <c r="J193" s="10"/>
      <c r="K193" s="10"/>
      <c r="L193" s="10"/>
      <c r="M193" s="10"/>
      <c r="O193" s="44"/>
      <c r="P193" s="8"/>
    </row>
    <row r="194" spans="2:16" x14ac:dyDescent="0.15">
      <c r="B194" s="225" t="s">
        <v>1171</v>
      </c>
      <c r="D194" s="8"/>
      <c r="G194" s="10"/>
      <c r="H194" s="10"/>
      <c r="I194" s="10"/>
      <c r="J194" s="10"/>
      <c r="K194" s="10"/>
      <c r="L194" s="10"/>
      <c r="M194" s="10"/>
      <c r="O194" s="44"/>
    </row>
    <row r="195" spans="2:16" x14ac:dyDescent="0.15">
      <c r="C195" s="8" t="s">
        <v>1172</v>
      </c>
      <c r="D195" s="8"/>
      <c r="E195" s="110"/>
      <c r="F195" s="113"/>
      <c r="G195" s="117">
        <f ca="1">G18/'Cost Input'!$F$350</f>
        <v>1.2205375875809219</v>
      </c>
      <c r="H195" s="117">
        <f ca="1">H18/'Cost Input'!$F$350</f>
        <v>1.2205375875809219</v>
      </c>
      <c r="I195" s="117">
        <f ca="1">I18/'Cost Input'!$F$350</f>
        <v>1.2205375875809219</v>
      </c>
      <c r="J195" s="117">
        <f ca="1">J18/'Cost Input'!$F$350</f>
        <v>1.2205375875809219</v>
      </c>
      <c r="K195" s="117">
        <f ca="1">K18/'Cost Input'!$F$350</f>
        <v>1.2205375875809219</v>
      </c>
      <c r="L195" s="117">
        <f ca="1">L18/'Cost Input'!$F$350</f>
        <v>1.2205375875809219</v>
      </c>
      <c r="M195" s="117">
        <f ca="1">M18/'Cost Input'!$F$350</f>
        <v>1.2205375875809219</v>
      </c>
      <c r="O195" s="44"/>
    </row>
    <row r="196" spans="2:16" x14ac:dyDescent="0.15">
      <c r="C196" s="8" t="s">
        <v>1173</v>
      </c>
      <c r="D196" s="476"/>
      <c r="E196" s="110">
        <f>'Cost Input'!F130</f>
        <v>210000</v>
      </c>
      <c r="F196" s="1048">
        <f>'Cost Input'!G130</f>
        <v>0.9</v>
      </c>
      <c r="G196" s="104">
        <f t="shared" ref="G196:M196" ca="1" si="41">$E196*(IF($D196 = "x", 1/G$476, 1)*G195)^$F196</f>
        <v>251255.36119627731</v>
      </c>
      <c r="H196" s="104">
        <f t="shared" ca="1" si="41"/>
        <v>251255.36119627731</v>
      </c>
      <c r="I196" s="104">
        <f t="shared" ca="1" si="41"/>
        <v>251255.36119627731</v>
      </c>
      <c r="J196" s="104">
        <f t="shared" ca="1" si="41"/>
        <v>251255.36119627731</v>
      </c>
      <c r="K196" s="104">
        <f t="shared" ca="1" si="41"/>
        <v>251255.36119627731</v>
      </c>
      <c r="L196" s="104">
        <f t="shared" ca="1" si="41"/>
        <v>251255.36119627731</v>
      </c>
      <c r="M196" s="104">
        <f t="shared" ca="1" si="41"/>
        <v>251255.36119627731</v>
      </c>
      <c r="N196" s="36"/>
      <c r="O196" s="44"/>
      <c r="P196" s="44"/>
    </row>
    <row r="197" spans="2:16" x14ac:dyDescent="0.15">
      <c r="C197" s="8" t="s">
        <v>1174</v>
      </c>
      <c r="D197" s="693" t="str">
        <f>IF($E$474&gt;2, "x", "")</f>
        <v/>
      </c>
      <c r="E197" s="810">
        <f>'Cost Input'!F131</f>
        <v>152.04000000000002</v>
      </c>
      <c r="F197" s="1048">
        <f>'Cost Input'!G131</f>
        <v>0.9</v>
      </c>
      <c r="G197" s="116" cm="1">
        <f t="array" aca="1" ref="G197" ca="1">$E197*(IF($D197 = "x", 1/G$476, 1)*G195)^$F197*_p_days</f>
        <v>181.90888150610479</v>
      </c>
      <c r="H197" s="116" cm="1">
        <f t="array" aca="1" ref="H197" ca="1">$E197*(IF($D197 = "x", 1/H$476, 1)*H195)^$F197*_p_days</f>
        <v>181.90888150610479</v>
      </c>
      <c r="I197" s="116" cm="1">
        <f t="array" aca="1" ref="I197" ca="1">$E197*(IF($D197 = "x", 1/I$476, 1)*I195)^$F197*_p_days</f>
        <v>181.90888150610479</v>
      </c>
      <c r="J197" s="116" cm="1">
        <f t="array" aca="1" ref="J197" ca="1">$E197*(IF($D197 = "x", 1/J$476, 1)*J195)^$F197*_p_days</f>
        <v>181.90888150610479</v>
      </c>
      <c r="K197" s="116" cm="1">
        <f t="array" aca="1" ref="K197" ca="1">$E197*(IF($D197 = "x", 1/K$476, 1)*K195)^$F197*_p_days</f>
        <v>181.90888150610479</v>
      </c>
      <c r="L197" s="116" cm="1">
        <f t="array" aca="1" ref="L197" ca="1">$E197*(IF($D197 = "x", 1/L$476, 1)*L195)^$F197*_p_days</f>
        <v>181.90888150610479</v>
      </c>
      <c r="M197" s="116" cm="1">
        <f t="array" aca="1" ref="M197" ca="1">$E197*(IF($D197 = "x", 1/M$476, 1)*M195)^$F197*_p_days</f>
        <v>181.90888150610479</v>
      </c>
      <c r="O197" s="44"/>
      <c r="P197" s="44"/>
    </row>
    <row r="198" spans="2:16" ht="14" x14ac:dyDescent="0.2">
      <c r="C198" s="8" t="s">
        <v>1175</v>
      </c>
      <c r="D198" s="693" t="str">
        <f>IF($E$474&gt;1, "x", "")</f>
        <v/>
      </c>
      <c r="E198" s="110">
        <f>'Cost Input'!F132</f>
        <v>8600</v>
      </c>
      <c r="F198" s="1048">
        <f>'Cost Input'!G132</f>
        <v>0.95</v>
      </c>
      <c r="G198" s="104" cm="1">
        <f t="array" aca="1" ref="G198" ca="1">$E198*(IF($D198 = "x", 1/G$476, 1)*G195)^$F198*_p_days</f>
        <v>10392.548304452086</v>
      </c>
      <c r="H198" s="104" cm="1">
        <f t="array" aca="1" ref="H198" ca="1">$E198*(IF($D198 = "x", 1/H$476, 1)*H195)^$F198*_p_days</f>
        <v>10392.548304452086</v>
      </c>
      <c r="I198" s="104" cm="1">
        <f t="array" aca="1" ref="I198" ca="1">$E198*(IF($D198 = "x", 1/I$476, 1)*I195)^$F198*_p_days</f>
        <v>10392.548304452086</v>
      </c>
      <c r="J198" s="104" cm="1">
        <f t="array" aca="1" ref="J198" ca="1">$E198*(IF($D198 = "x", 1/J$476, 1)*J195)^$F198*_p_days</f>
        <v>10392.548304452086</v>
      </c>
      <c r="K198" s="104" cm="1">
        <f t="array" aca="1" ref="K198" ca="1">$E198*(IF($D198 = "x", 1/K$476, 1)*K195)^$F198*_p_days</f>
        <v>10392.548304452086</v>
      </c>
      <c r="L198" s="104" cm="1">
        <f t="array" aca="1" ref="L198" ca="1">$E198*(IF($D198 = "x", 1/L$476, 1)*L195)^$F198*_p_days</f>
        <v>10392.548304452086</v>
      </c>
      <c r="M198" s="104" cm="1">
        <f t="array" aca="1" ref="M198" ca="1">$E198*(IF($D198 = "x", 1/M$476, 1)*M195)^$F198*_p_days</f>
        <v>10392.548304452086</v>
      </c>
      <c r="O198" s="44"/>
      <c r="P198" s="44"/>
    </row>
    <row r="199" spans="2:16" x14ac:dyDescent="0.15">
      <c r="C199" s="8" t="s">
        <v>1176</v>
      </c>
      <c r="D199" s="693"/>
      <c r="E199" s="110">
        <f>'Cost Input'!F133</f>
        <v>6700</v>
      </c>
      <c r="F199" s="1048">
        <f>'Cost Input'!G133</f>
        <v>0.95</v>
      </c>
      <c r="G199" s="104" cm="1">
        <f t="array" aca="1" ref="G199" ca="1">$E199*(IF($D199 = "x", 1/G$476, 1)*G195)^$F199*_p_days</f>
        <v>8096.5201906777875</v>
      </c>
      <c r="H199" s="104" cm="1">
        <f t="array" aca="1" ref="H199" ca="1">$E199*(IF($D199 = "x", 1/H$476, 1)*H195)^$F199*_p_days</f>
        <v>8096.5201906777875</v>
      </c>
      <c r="I199" s="104" cm="1">
        <f t="array" aca="1" ref="I199" ca="1">$E199*(IF($D199 = "x", 1/I$476, 1)*I195)^$F199*_p_days</f>
        <v>8096.5201906777875</v>
      </c>
      <c r="J199" s="104" cm="1">
        <f t="array" aca="1" ref="J199" ca="1">$E199*(IF($D199 = "x", 1/J$476, 1)*J195)^$F199*_p_days</f>
        <v>8096.5201906777875</v>
      </c>
      <c r="K199" s="104" cm="1">
        <f t="array" aca="1" ref="K199" ca="1">$E199*(IF($D199 = "x", 1/K$476, 1)*K195)^$F199*_p_days</f>
        <v>8096.5201906777875</v>
      </c>
      <c r="L199" s="104" cm="1">
        <f t="array" aca="1" ref="L199" ca="1">$E199*(IF($D199 = "x", 1/L$476, 1)*L195)^$F199*_p_days</f>
        <v>8096.5201906777875</v>
      </c>
      <c r="M199" s="104" cm="1">
        <f t="array" aca="1" ref="M199" ca="1">$E199*(IF($D199 = "x", 1/M$476, 1)*M195)^$F199*_p_days</f>
        <v>8096.5201906777875</v>
      </c>
      <c r="O199" s="44"/>
      <c r="P199" s="44"/>
    </row>
    <row r="200" spans="2:16" x14ac:dyDescent="0.15">
      <c r="C200" s="8"/>
      <c r="D200" s="46"/>
      <c r="E200" s="110"/>
      <c r="F200" s="113"/>
      <c r="G200" s="104"/>
      <c r="H200" s="104"/>
      <c r="I200" s="104"/>
      <c r="J200" s="104"/>
      <c r="K200" s="104"/>
      <c r="L200" s="104"/>
      <c r="M200" s="104"/>
      <c r="O200" s="44"/>
      <c r="P200" s="44"/>
    </row>
    <row r="201" spans="2:16" x14ac:dyDescent="0.15">
      <c r="B201" s="225" t="s">
        <v>1177</v>
      </c>
      <c r="E201" s="110"/>
      <c r="F201" s="113"/>
      <c r="G201" s="10"/>
      <c r="H201" s="10"/>
      <c r="I201" s="10"/>
      <c r="J201" s="10"/>
      <c r="K201" s="10"/>
      <c r="L201" s="10"/>
      <c r="M201" s="10"/>
      <c r="O201" s="44"/>
      <c r="P201" s="44"/>
    </row>
    <row r="202" spans="2:16" x14ac:dyDescent="0.15">
      <c r="C202" s="8" t="s">
        <v>1172</v>
      </c>
      <c r="E202" s="110"/>
      <c r="F202" s="113"/>
      <c r="G202" s="117">
        <f ca="1">G19/'Cost Input'!$F351</f>
        <v>1.0186652669954555</v>
      </c>
      <c r="H202" s="117">
        <f ca="1">H19/'Cost Input'!$F351</f>
        <v>1.0186652669954555</v>
      </c>
      <c r="I202" s="117">
        <f ca="1">I19/'Cost Input'!$F351</f>
        <v>1.0186652669954555</v>
      </c>
      <c r="J202" s="117">
        <f ca="1">J19/'Cost Input'!$F351</f>
        <v>1.0186652669954555</v>
      </c>
      <c r="K202" s="117">
        <f ca="1">K19/'Cost Input'!$F351</f>
        <v>1.0186652669954555</v>
      </c>
      <c r="L202" s="117">
        <f ca="1">L19/'Cost Input'!$F351</f>
        <v>1.0186652669954555</v>
      </c>
      <c r="M202" s="117">
        <f ca="1">M19/'Cost Input'!$F351</f>
        <v>1.0186652669954555</v>
      </c>
      <c r="O202" s="44"/>
      <c r="P202" s="44"/>
    </row>
    <row r="203" spans="2:16" x14ac:dyDescent="0.15">
      <c r="C203" s="8" t="s">
        <v>1173</v>
      </c>
      <c r="D203" s="476"/>
      <c r="E203" s="110">
        <f>'Cost Input'!F137</f>
        <v>220000</v>
      </c>
      <c r="F203" s="1048">
        <f>'Cost Input'!G137</f>
        <v>0.9</v>
      </c>
      <c r="G203" s="104">
        <f t="shared" ref="G203:M203" ca="1" si="42">$E203*(IF($D203 = "x", 1/G$476, 1)*G202)^$F203</f>
        <v>223692.29715901284</v>
      </c>
      <c r="H203" s="104">
        <f t="shared" ca="1" si="42"/>
        <v>223692.29715901284</v>
      </c>
      <c r="I203" s="104">
        <f t="shared" ca="1" si="42"/>
        <v>223692.29715901284</v>
      </c>
      <c r="J203" s="104">
        <f t="shared" ca="1" si="42"/>
        <v>223692.29715901284</v>
      </c>
      <c r="K203" s="104">
        <f t="shared" ca="1" si="42"/>
        <v>223692.29715901284</v>
      </c>
      <c r="L203" s="104">
        <f t="shared" ca="1" si="42"/>
        <v>223692.29715901284</v>
      </c>
      <c r="M203" s="104">
        <f t="shared" ca="1" si="42"/>
        <v>223692.29715901284</v>
      </c>
      <c r="N203" s="44"/>
      <c r="O203" s="44"/>
      <c r="P203" s="44"/>
    </row>
    <row r="204" spans="2:16" x14ac:dyDescent="0.15">
      <c r="C204" s="8" t="s">
        <v>1174</v>
      </c>
      <c r="D204" s="693" t="str">
        <f>IF($E$474&gt;2, "x", "")</f>
        <v/>
      </c>
      <c r="E204" s="810">
        <f>'Cost Input'!F138</f>
        <v>166.52</v>
      </c>
      <c r="F204" s="1048">
        <f>'Cost Input'!G138</f>
        <v>0.9</v>
      </c>
      <c r="G204" s="116" cm="1">
        <f t="array" aca="1" ref="G204" ca="1">$E204*(IF($D204 = "x", 1/G$476, 1)*G202)^$F204*_p_days</f>
        <v>169.31473328599463</v>
      </c>
      <c r="H204" s="116" cm="1">
        <f t="array" aca="1" ref="H204" ca="1">$E204*(IF($D204 = "x", 1/H$476, 1)*H202)^$F204*_p_days</f>
        <v>169.31473328599463</v>
      </c>
      <c r="I204" s="116" cm="1">
        <f t="array" aca="1" ref="I204" ca="1">$E204*(IF($D204 = "x", 1/I$476, 1)*I202)^$F204*_p_days</f>
        <v>169.31473328599463</v>
      </c>
      <c r="J204" s="116" cm="1">
        <f t="array" aca="1" ref="J204" ca="1">$E204*(IF($D204 = "x", 1/J$476, 1)*J202)^$F204*_p_days</f>
        <v>169.31473328599463</v>
      </c>
      <c r="K204" s="116" cm="1">
        <f t="array" aca="1" ref="K204" ca="1">$E204*(IF($D204 = "x", 1/K$476, 1)*K202)^$F204*_p_days</f>
        <v>169.31473328599463</v>
      </c>
      <c r="L204" s="116" cm="1">
        <f t="array" aca="1" ref="L204" ca="1">$E204*(IF($D204 = "x", 1/L$476, 1)*L202)^$F204*_p_days</f>
        <v>169.31473328599463</v>
      </c>
      <c r="M204" s="116" cm="1">
        <f t="array" aca="1" ref="M204" ca="1">$E204*(IF($D204 = "x", 1/M$476, 1)*M202)^$F204*_p_days</f>
        <v>169.31473328599463</v>
      </c>
      <c r="N204" s="44"/>
      <c r="O204" s="44"/>
      <c r="P204" s="44"/>
    </row>
    <row r="205" spans="2:16" ht="14" x14ac:dyDescent="0.2">
      <c r="C205" s="8" t="s">
        <v>1175</v>
      </c>
      <c r="D205" s="693" t="str">
        <f>IF($E$474&gt;1, "x", "")</f>
        <v/>
      </c>
      <c r="E205" s="110">
        <f>'Cost Input'!F139</f>
        <v>8800</v>
      </c>
      <c r="F205" s="1048">
        <f>'Cost Input'!G139</f>
        <v>0.95</v>
      </c>
      <c r="G205" s="104" cm="1">
        <f t="array" aca="1" ref="G205" ca="1">$E205*(IF($D205 = "x", 1/G$476, 1)*G202)^$F205*_p_days</f>
        <v>8955.9692892969451</v>
      </c>
      <c r="H205" s="104" cm="1">
        <f t="array" aca="1" ref="H205" ca="1">$E205*(IF($D205 = "x", 1/H$476, 1)*H202)^$F205*_p_days</f>
        <v>8955.9692892969451</v>
      </c>
      <c r="I205" s="104" cm="1">
        <f t="array" aca="1" ref="I205" ca="1">$E205*(IF($D205 = "x", 1/I$476, 1)*I202)^$F205*_p_days</f>
        <v>8955.9692892969451</v>
      </c>
      <c r="J205" s="104" cm="1">
        <f t="array" aca="1" ref="J205" ca="1">$E205*(IF($D205 = "x", 1/J$476, 1)*J202)^$F205*_p_days</f>
        <v>8955.9692892969451</v>
      </c>
      <c r="K205" s="104" cm="1">
        <f t="array" aca="1" ref="K205" ca="1">$E205*(IF($D205 = "x", 1/K$476, 1)*K202)^$F205*_p_days</f>
        <v>8955.9692892969451</v>
      </c>
      <c r="L205" s="104" cm="1">
        <f t="array" aca="1" ref="L205" ca="1">$E205*(IF($D205 = "x", 1/L$476, 1)*L202)^$F205*_p_days</f>
        <v>8955.9692892969451</v>
      </c>
      <c r="M205" s="104" cm="1">
        <f t="array" aca="1" ref="M205" ca="1">$E205*(IF($D205 = "x", 1/M$476, 1)*M202)^$F205*_p_days</f>
        <v>8955.9692892969451</v>
      </c>
      <c r="N205" s="44"/>
      <c r="O205" s="44"/>
      <c r="P205" s="44"/>
    </row>
    <row r="206" spans="2:16" x14ac:dyDescent="0.15">
      <c r="C206" s="8" t="s">
        <v>1176</v>
      </c>
      <c r="D206" s="693"/>
      <c r="E206" s="110">
        <f>'Cost Input'!F140</f>
        <v>7900</v>
      </c>
      <c r="F206" s="1048">
        <f>'Cost Input'!G140</f>
        <v>0.95</v>
      </c>
      <c r="G206" s="104" cm="1">
        <f t="array" aca="1" ref="G206" ca="1">$E206*(IF($D206 = "x", 1/G$476, 1)*G202)^$F206*_p_days</f>
        <v>8040.0178847097568</v>
      </c>
      <c r="H206" s="104" cm="1">
        <f t="array" aca="1" ref="H206" ca="1">$E206*(IF($D206 = "x", 1/H$476, 1)*H202)^$F206*_p_days</f>
        <v>8040.0178847097568</v>
      </c>
      <c r="I206" s="104" cm="1">
        <f t="array" aca="1" ref="I206" ca="1">$E206*(IF($D206 = "x", 1/I$476, 1)*I202)^$F206*_p_days</f>
        <v>8040.0178847097568</v>
      </c>
      <c r="J206" s="104" cm="1">
        <f t="array" aca="1" ref="J206" ca="1">$E206*(IF($D206 = "x", 1/J$476, 1)*J202)^$F206*_p_days</f>
        <v>8040.0178847097568</v>
      </c>
      <c r="K206" s="104" cm="1">
        <f t="array" aca="1" ref="K206" ca="1">$E206*(IF($D206 = "x", 1/K$476, 1)*K202)^$F206*_p_days</f>
        <v>8040.0178847097568</v>
      </c>
      <c r="L206" s="104" cm="1">
        <f t="array" aca="1" ref="L206" ca="1">$E206*(IF($D206 = "x", 1/L$476, 1)*L202)^$F206*_p_days</f>
        <v>8040.0178847097568</v>
      </c>
      <c r="M206" s="104" cm="1">
        <f t="array" aca="1" ref="M206" ca="1">$E206*(IF($D206 = "x", 1/M$476, 1)*M202)^$F206*_p_days</f>
        <v>8040.0178847097568</v>
      </c>
      <c r="N206" s="44"/>
      <c r="O206" s="44"/>
      <c r="P206" s="44"/>
    </row>
    <row r="207" spans="2:16" x14ac:dyDescent="0.15">
      <c r="C207" s="8"/>
      <c r="D207" s="46"/>
      <c r="E207" s="110"/>
      <c r="F207" s="813"/>
      <c r="G207" s="104"/>
      <c r="H207" s="104"/>
      <c r="I207" s="104"/>
      <c r="J207" s="104"/>
      <c r="K207" s="104"/>
      <c r="L207" s="104"/>
      <c r="M207" s="104"/>
      <c r="N207" s="44"/>
      <c r="O207" s="44"/>
      <c r="P207" s="44"/>
    </row>
    <row r="208" spans="2:16" ht="14" x14ac:dyDescent="0.15">
      <c r="B208" s="507" t="s">
        <v>1178</v>
      </c>
      <c r="E208" s="110"/>
      <c r="F208" s="813"/>
      <c r="G208" s="10"/>
      <c r="H208" s="10"/>
      <c r="I208" s="10"/>
      <c r="J208" s="10"/>
      <c r="K208" s="10"/>
      <c r="L208" s="10"/>
      <c r="M208" s="10"/>
      <c r="N208" s="44"/>
      <c r="O208" s="44"/>
      <c r="P208" s="44"/>
    </row>
    <row r="209" spans="2:16" x14ac:dyDescent="0.15">
      <c r="B209" s="225" t="s">
        <v>1179</v>
      </c>
      <c r="E209" s="110"/>
      <c r="F209" s="813"/>
      <c r="G209" s="10"/>
      <c r="H209" s="10"/>
      <c r="I209" s="10"/>
      <c r="J209" s="10"/>
      <c r="K209" s="10"/>
      <c r="L209" s="10"/>
      <c r="M209" s="10"/>
      <c r="N209" s="44"/>
      <c r="O209" s="402"/>
      <c r="P209" s="402"/>
    </row>
    <row r="210" spans="2:16" x14ac:dyDescent="0.15">
      <c r="C210" s="8" t="s">
        <v>1180</v>
      </c>
      <c r="E210" s="110"/>
      <c r="F210" s="813"/>
      <c r="G210" s="117">
        <f ca="1">G16/'Cost Input'!$F$348</f>
        <v>0.8099127582376664</v>
      </c>
      <c r="H210" s="117">
        <f ca="1">H16/'Cost Input'!$F$348</f>
        <v>0.8099127582376664</v>
      </c>
      <c r="I210" s="117">
        <f ca="1">I16/'Cost Input'!$F$348</f>
        <v>0.8099127582376664</v>
      </c>
      <c r="J210" s="117">
        <f ca="1">J16/'Cost Input'!$F$348</f>
        <v>0.8099127582376664</v>
      </c>
      <c r="K210" s="117">
        <f ca="1">K16/'Cost Input'!$F$348</f>
        <v>0.8099127582376664</v>
      </c>
      <c r="L210" s="117">
        <f ca="1">L16/'Cost Input'!$F$348</f>
        <v>0.8099127582376664</v>
      </c>
      <c r="M210" s="117">
        <f ca="1">M16/'Cost Input'!$F$348</f>
        <v>0.8099127582376664</v>
      </c>
      <c r="N210" s="44"/>
      <c r="O210" s="44"/>
      <c r="P210" s="44"/>
    </row>
    <row r="211" spans="2:16" ht="15" x14ac:dyDescent="0.15">
      <c r="C211" s="8" t="s">
        <v>1181</v>
      </c>
      <c r="E211" s="118">
        <f>'Cost Input'!F145</f>
        <v>7.9867986798679874E-2</v>
      </c>
      <c r="F211" s="813"/>
      <c r="G211" s="117">
        <f t="shared" ref="G211:M211" ca="1" si="43">G97/G16</f>
        <v>0.11862721635564974</v>
      </c>
      <c r="H211" s="117">
        <f t="shared" ca="1" si="43"/>
        <v>0.11862721635564974</v>
      </c>
      <c r="I211" s="117">
        <f t="shared" ca="1" si="43"/>
        <v>0.11862721635564974</v>
      </c>
      <c r="J211" s="117">
        <f t="shared" ca="1" si="43"/>
        <v>0.11862721635564974</v>
      </c>
      <c r="K211" s="117">
        <f t="shared" ca="1" si="43"/>
        <v>0.11862721635564974</v>
      </c>
      <c r="L211" s="117">
        <f t="shared" ca="1" si="43"/>
        <v>0.11862721635564974</v>
      </c>
      <c r="M211" s="117">
        <f t="shared" ca="1" si="43"/>
        <v>0.11862721635564974</v>
      </c>
      <c r="N211" s="44"/>
      <c r="O211" s="402"/>
      <c r="P211" s="402"/>
    </row>
    <row r="212" spans="2:16" x14ac:dyDescent="0.15">
      <c r="C212" s="8" t="s">
        <v>1173</v>
      </c>
      <c r="D212" s="476"/>
      <c r="E212" s="110">
        <f>'Cost Input'!F146</f>
        <v>59000</v>
      </c>
      <c r="F212" s="1048">
        <f>'Cost Input'!G146</f>
        <v>0.7</v>
      </c>
      <c r="G212" s="104">
        <f ca="1">$E212*G$210^$F212</f>
        <v>50904.805199639559</v>
      </c>
      <c r="H212" s="104">
        <f t="shared" ref="H212:M212" ca="1" si="44">$E212*H$210^$F212</f>
        <v>50904.805199639559</v>
      </c>
      <c r="I212" s="104">
        <f t="shared" ca="1" si="44"/>
        <v>50904.805199639559</v>
      </c>
      <c r="J212" s="104">
        <f t="shared" ca="1" si="44"/>
        <v>50904.805199639559</v>
      </c>
      <c r="K212" s="104">
        <f t="shared" ca="1" si="44"/>
        <v>50904.805199639559</v>
      </c>
      <c r="L212" s="104">
        <f t="shared" ca="1" si="44"/>
        <v>50904.805199639559</v>
      </c>
      <c r="M212" s="104">
        <f t="shared" ca="1" si="44"/>
        <v>50904.805199639559</v>
      </c>
      <c r="N212" s="44"/>
      <c r="O212" s="44"/>
      <c r="P212" s="44"/>
    </row>
    <row r="213" spans="2:16" x14ac:dyDescent="0.15">
      <c r="C213" s="8" t="s">
        <v>1174</v>
      </c>
      <c r="D213" s="693" t="str">
        <f>IF($E$474&gt;2, "x", "")</f>
        <v/>
      </c>
      <c r="E213" s="810">
        <f>'Cost Input'!F147</f>
        <v>76.075000000000003</v>
      </c>
      <c r="F213" s="1048">
        <f>'Cost Input'!G147</f>
        <v>0.9</v>
      </c>
      <c r="G213" s="116" cm="1">
        <f t="array" aca="1" ref="G213" ca="1">$E213*G$210^$F213*(G211/$E211)^0.2*_p_days</f>
        <v>68.108089445981904</v>
      </c>
      <c r="H213" s="812" cm="1">
        <f t="array" aca="1" ref="H213" ca="1">$E213*H$210^$F213*(H211/$E211)^0.2*_p_days</f>
        <v>68.108089445981904</v>
      </c>
      <c r="I213" s="812" cm="1">
        <f t="array" aca="1" ref="I213" ca="1">$E213*I$210^$F213*(I211/$E211)^0.2*_p_days</f>
        <v>68.108089445981904</v>
      </c>
      <c r="J213" s="812" cm="1">
        <f t="array" aca="1" ref="J213" ca="1">$E213*J$210^$F213*(J211/$E211)^0.2*_p_days</f>
        <v>68.108089445981904</v>
      </c>
      <c r="K213" s="812" cm="1">
        <f t="array" aca="1" ref="K213" ca="1">$E213*K$210^$F213*(K211/$E211)^0.2*_p_days</f>
        <v>68.108089445981904</v>
      </c>
      <c r="L213" s="812" cm="1">
        <f t="array" aca="1" ref="L213" ca="1">$E213*L$210^$F213*(L211/$E211)^0.2*_p_days</f>
        <v>68.108089445981904</v>
      </c>
      <c r="M213" s="812" cm="1">
        <f t="array" aca="1" ref="M213" ca="1">$E213*M$210^$F213*(M211/$E211)^0.2*_p_days</f>
        <v>68.108089445981904</v>
      </c>
      <c r="N213" s="44"/>
      <c r="O213" s="44"/>
      <c r="P213" s="44"/>
    </row>
    <row r="214" spans="2:16" ht="14" x14ac:dyDescent="0.2">
      <c r="C214" s="8" t="s">
        <v>1175</v>
      </c>
      <c r="D214" s="693" t="str">
        <f>IF($E$474&gt;1, "x", "")</f>
        <v/>
      </c>
      <c r="E214" s="110">
        <f>'Cost Input'!F148</f>
        <v>16000</v>
      </c>
      <c r="F214" s="1048">
        <f>'Cost Input'!G148</f>
        <v>0.95</v>
      </c>
      <c r="G214" s="104" cm="1">
        <f t="array" aca="1" ref="G214" ca="1">$E214*(IF($D322 = "x", 1/G$476, 1)*G$210)^$F214*_p_days</f>
        <v>13095.928971744352</v>
      </c>
      <c r="H214" s="64" cm="1">
        <f t="array" aca="1" ref="H214" ca="1">$E214*(IF($D322 = "x", 1/H$476, 1)*H$210)^$F214*_p_days</f>
        <v>13095.928971744352</v>
      </c>
      <c r="I214" s="64" cm="1">
        <f t="array" aca="1" ref="I214" ca="1">$E214*(IF($D322 = "x", 1/I$476, 1)*I$210)^$F214*_p_days</f>
        <v>13095.928971744352</v>
      </c>
      <c r="J214" s="64" cm="1">
        <f t="array" aca="1" ref="J214" ca="1">$E214*(IF($D322 = "x", 1/J$476, 1)*J$210)^$F214*_p_days</f>
        <v>13095.928971744352</v>
      </c>
      <c r="K214" s="64" cm="1">
        <f t="array" aca="1" ref="K214" ca="1">$E214*(IF($D322 = "x", 1/K$476, 1)*K$210)^$F214*_p_days</f>
        <v>13095.928971744352</v>
      </c>
      <c r="L214" s="64" cm="1">
        <f t="array" aca="1" ref="L214" ca="1">$E214*(IF($D322 = "x", 1/L$476, 1)*L$210)^$F214*_p_days</f>
        <v>13095.928971744352</v>
      </c>
      <c r="M214" s="64" cm="1">
        <f t="array" aca="1" ref="M214" ca="1">$E214*(IF($D322 = "x", 1/M$476, 1)*M$210)^$F214*_p_days</f>
        <v>13095.928971744352</v>
      </c>
      <c r="N214" s="44"/>
      <c r="O214" s="44"/>
      <c r="P214" s="44"/>
    </row>
    <row r="215" spans="2:16" x14ac:dyDescent="0.15">
      <c r="C215" s="8" t="s">
        <v>1182</v>
      </c>
      <c r="D215" s="693"/>
      <c r="E215" s="110">
        <f>'Cost Input'!F149</f>
        <v>7200</v>
      </c>
      <c r="F215" s="1048">
        <f>'Cost Input'!G149</f>
        <v>0.95</v>
      </c>
      <c r="G215" s="104" cm="1">
        <f t="array" aca="1" ref="G215" ca="1">$E215*(IF($D324 = "x", 1/G$476, 1)*G$210)^$F215*_p_days</f>
        <v>5893.1680372849578</v>
      </c>
      <c r="H215" s="64" cm="1">
        <f t="array" aca="1" ref="H215" ca="1">$E215*(IF($D324 = "x", 1/H$476, 1)*H$210)^$F215*_p_days</f>
        <v>5893.1680372849578</v>
      </c>
      <c r="I215" s="64" cm="1">
        <f t="array" aca="1" ref="I215" ca="1">$E215*(IF($D324 = "x", 1/I$476, 1)*I$210)^$F215*_p_days</f>
        <v>5893.1680372849578</v>
      </c>
      <c r="J215" s="64" cm="1">
        <f t="array" aca="1" ref="J215" ca="1">$E215*(IF($D324 = "x", 1/J$476, 1)*J$210)^$F215*_p_days</f>
        <v>5893.1680372849578</v>
      </c>
      <c r="K215" s="64" cm="1">
        <f t="array" aca="1" ref="K215" ca="1">$E215*(IF($D324 = "x", 1/K$476, 1)*K$210)^$F215*_p_days</f>
        <v>5893.1680372849578</v>
      </c>
      <c r="L215" s="64" cm="1">
        <f t="array" aca="1" ref="L215" ca="1">$E215*(IF($D324 = "x", 1/L$476, 1)*L$210)^$F215*_p_days</f>
        <v>5893.1680372849578</v>
      </c>
      <c r="M215" s="64" cm="1">
        <f t="array" aca="1" ref="M215" ca="1">$E215*(IF($D324 = "x", 1/M$476, 1)*M$210)^$F215*_p_days</f>
        <v>5893.1680372849578</v>
      </c>
      <c r="N215" s="44"/>
      <c r="O215" s="44"/>
      <c r="P215" s="44"/>
    </row>
    <row r="216" spans="2:16" x14ac:dyDescent="0.15">
      <c r="C216" s="8" t="s">
        <v>1183</v>
      </c>
      <c r="D216" s="46"/>
      <c r="E216" s="110"/>
      <c r="F216" s="1048"/>
      <c r="G216" s="104">
        <f ca="1">G20*(INDEX(Lists!$AR$143:$AR$144,MATCH(Chem!$C$14,Lists!$AP$143:$AP$144)))/'Cost Input'!$F$81/24</f>
        <v>24638.674775186122</v>
      </c>
      <c r="H216" s="104">
        <f ca="1">H20*(INDEX(Lists!$AR$143:$AR$144,MATCH(Chem!$C$14,Lists!$AP$143:$AP$144)))/'Cost Input'!$F$81/24</f>
        <v>24638.674775186122</v>
      </c>
      <c r="I216" s="104">
        <f ca="1">I20*(INDEX(Lists!$AR$143:$AR$144,MATCH(Chem!$C$14,Lists!$AP$143:$AP$144)))/'Cost Input'!$F$81/24</f>
        <v>24638.674775186122</v>
      </c>
      <c r="J216" s="104">
        <f ca="1">J20*(INDEX(Lists!$AR$143:$AR$144,MATCH(Chem!$C$14,Lists!$AP$143:$AP$144)))/'Cost Input'!$F$81/24</f>
        <v>24638.674775186122</v>
      </c>
      <c r="K216" s="104">
        <f ca="1">K20*(INDEX(Lists!$AR$143:$AR$144,MATCH(Chem!$C$14,Lists!$AP$143:$AP$144)))/'Cost Input'!$F$81/24</f>
        <v>24638.674775186122</v>
      </c>
      <c r="L216" s="104">
        <f ca="1">L20*(INDEX(Lists!$AR$143:$AR$144,MATCH(Chem!$C$14,Lists!$AP$143:$AP$144)))/'Cost Input'!$F$81/24</f>
        <v>24638.674775186122</v>
      </c>
      <c r="M216" s="104">
        <f ca="1">M20*(INDEX(Lists!$AR$143:$AR$144,MATCH(Chem!$C$14,Lists!$AP$143:$AP$144)))/'Cost Input'!$F$81/24</f>
        <v>24638.674775186122</v>
      </c>
      <c r="N216" s="44"/>
      <c r="O216" s="44"/>
      <c r="P216" s="44"/>
    </row>
    <row r="217" spans="2:16" x14ac:dyDescent="0.15">
      <c r="C217" s="8" t="s">
        <v>1184</v>
      </c>
      <c r="D217" s="46"/>
      <c r="E217" s="110"/>
      <c r="F217" s="1048"/>
      <c r="G217" s="104">
        <f ca="1">SUM(G215:G216)</f>
        <v>30531.842812471081</v>
      </c>
      <c r="H217" s="104">
        <f t="shared" ref="H217:M217" ca="1" si="45">SUM(H215:H216)</f>
        <v>30531.842812471081</v>
      </c>
      <c r="I217" s="104">
        <f t="shared" ca="1" si="45"/>
        <v>30531.842812471081</v>
      </c>
      <c r="J217" s="104">
        <f t="shared" ca="1" si="45"/>
        <v>30531.842812471081</v>
      </c>
      <c r="K217" s="104">
        <f t="shared" ca="1" si="45"/>
        <v>30531.842812471081</v>
      </c>
      <c r="L217" s="104">
        <f t="shared" ca="1" si="45"/>
        <v>30531.842812471081</v>
      </c>
      <c r="M217" s="104">
        <f t="shared" ca="1" si="45"/>
        <v>30531.842812471081</v>
      </c>
      <c r="N217" s="44"/>
      <c r="O217" s="44"/>
      <c r="P217" s="44"/>
    </row>
    <row r="218" spans="2:16" x14ac:dyDescent="0.15">
      <c r="C218" s="8"/>
      <c r="D218" s="46"/>
      <c r="E218" s="110"/>
      <c r="F218" s="113"/>
      <c r="G218" s="104"/>
      <c r="H218" s="104"/>
      <c r="I218" s="104"/>
      <c r="J218" s="104"/>
      <c r="K218" s="104"/>
      <c r="L218" s="104"/>
      <c r="M218" s="104"/>
      <c r="N218" s="44"/>
      <c r="O218" s="44"/>
      <c r="P218" s="44"/>
    </row>
    <row r="219" spans="2:16" x14ac:dyDescent="0.15">
      <c r="B219" s="225" t="s">
        <v>1185</v>
      </c>
      <c r="E219" s="110"/>
      <c r="F219" s="113"/>
      <c r="G219" s="10"/>
      <c r="H219" s="10"/>
      <c r="I219" s="10"/>
      <c r="J219" s="10"/>
      <c r="K219" s="10"/>
      <c r="L219" s="10"/>
      <c r="M219" s="10"/>
      <c r="N219" s="44"/>
      <c r="O219" s="44"/>
      <c r="P219" s="44"/>
    </row>
    <row r="220" spans="2:16" x14ac:dyDescent="0.15">
      <c r="C220" s="8" t="s">
        <v>1180</v>
      </c>
      <c r="E220" s="110"/>
      <c r="F220" s="113"/>
      <c r="G220" s="117">
        <f ca="1">G17/'Cost Input'!$F$349</f>
        <v>0.80672035469228331</v>
      </c>
      <c r="H220" s="117">
        <f ca="1">H17/'Cost Input'!$F$349</f>
        <v>0.80672035469228331</v>
      </c>
      <c r="I220" s="117">
        <f ca="1">I17/'Cost Input'!$F$349</f>
        <v>0.80672035469228331</v>
      </c>
      <c r="J220" s="117">
        <f ca="1">J17/'Cost Input'!$F$349</f>
        <v>0.80672035469228331</v>
      </c>
      <c r="K220" s="117">
        <f ca="1">K17/'Cost Input'!$F$349</f>
        <v>0.80672035469228331</v>
      </c>
      <c r="L220" s="117">
        <f ca="1">L17/'Cost Input'!$F$349</f>
        <v>0.80672035469228331</v>
      </c>
      <c r="M220" s="117">
        <f ca="1">M17/'Cost Input'!$F$349</f>
        <v>0.80672035469228331</v>
      </c>
      <c r="N220" s="811">
        <f>N16/'Cost Input'!$F$348</f>
        <v>0</v>
      </c>
      <c r="O220" s="44"/>
      <c r="P220" s="44"/>
    </row>
    <row r="221" spans="2:16" ht="15" x14ac:dyDescent="0.15">
      <c r="C221" s="8" t="s">
        <v>1186</v>
      </c>
      <c r="E221" s="118">
        <f>'Cost Input'!F154</f>
        <v>0.13396825396825396</v>
      </c>
      <c r="F221" s="113"/>
      <c r="G221" s="119">
        <f t="shared" ref="G221:N221" ca="1" si="46">G98/G17</f>
        <v>0.16582983139586002</v>
      </c>
      <c r="H221" s="119">
        <f t="shared" ca="1" si="46"/>
        <v>0.16582983139586002</v>
      </c>
      <c r="I221" s="119">
        <f t="shared" ca="1" si="46"/>
        <v>0.16582983139586002</v>
      </c>
      <c r="J221" s="119">
        <f t="shared" ca="1" si="46"/>
        <v>0.16582983139586002</v>
      </c>
      <c r="K221" s="119">
        <f t="shared" ca="1" si="46"/>
        <v>0.16582983139586002</v>
      </c>
      <c r="L221" s="119">
        <f t="shared" ca="1" si="46"/>
        <v>0.16582983139586002</v>
      </c>
      <c r="M221" s="119">
        <f t="shared" ca="1" si="46"/>
        <v>0.16582983139586002</v>
      </c>
      <c r="N221" s="119" t="e">
        <f t="shared" si="46"/>
        <v>#VALUE!</v>
      </c>
      <c r="O221" s="44"/>
      <c r="P221" s="44"/>
    </row>
    <row r="222" spans="2:16" x14ac:dyDescent="0.15">
      <c r="C222" s="8" t="s">
        <v>1173</v>
      </c>
      <c r="D222" s="476"/>
      <c r="E222" s="110">
        <f>'Cost Input'!F155</f>
        <v>59000</v>
      </c>
      <c r="F222" s="1048">
        <f>'Cost Input'!G155</f>
        <v>0.7</v>
      </c>
      <c r="G222" s="104">
        <f t="shared" ref="G222:M222" ca="1" si="47">$E222*G$220^$F222</f>
        <v>50764.267285367445</v>
      </c>
      <c r="H222" s="104">
        <f t="shared" ca="1" si="47"/>
        <v>50764.267285367445</v>
      </c>
      <c r="I222" s="104">
        <f t="shared" ca="1" si="47"/>
        <v>50764.267285367445</v>
      </c>
      <c r="J222" s="104">
        <f t="shared" ca="1" si="47"/>
        <v>50764.267285367445</v>
      </c>
      <c r="K222" s="104">
        <f t="shared" ca="1" si="47"/>
        <v>50764.267285367445</v>
      </c>
      <c r="L222" s="104">
        <f t="shared" ca="1" si="47"/>
        <v>50764.267285367445</v>
      </c>
      <c r="M222" s="104">
        <f t="shared" ca="1" si="47"/>
        <v>50764.267285367445</v>
      </c>
      <c r="N222" s="44"/>
      <c r="O222" s="44"/>
      <c r="P222" s="44"/>
    </row>
    <row r="223" spans="2:16" x14ac:dyDescent="0.15">
      <c r="C223" s="8" t="s">
        <v>1174</v>
      </c>
      <c r="D223" s="693" t="str">
        <f>IF($E$474&gt;2, "x", "")</f>
        <v/>
      </c>
      <c r="E223" s="810">
        <f>'Cost Input'!F156</f>
        <v>71.599999999999994</v>
      </c>
      <c r="F223" s="1048">
        <f>'Cost Input'!G156</f>
        <v>0.9</v>
      </c>
      <c r="G223" s="116" cm="1">
        <f t="array" aca="1" ref="G223" ca="1">$E223*G$220^$F223*(G221/$E221)^0.2*_p_days</f>
        <v>61.587969802121023</v>
      </c>
      <c r="H223" s="812" cm="1">
        <f t="array" aca="1" ref="H223" ca="1">$E223*H$220^$F223*(H221/$E221)^0.2*_p_days</f>
        <v>61.587969802121023</v>
      </c>
      <c r="I223" s="812" cm="1">
        <f t="array" aca="1" ref="I223" ca="1">$E223*I$220^$F223*(I221/$E221)^0.2*_p_days</f>
        <v>61.587969802121023</v>
      </c>
      <c r="J223" s="812" cm="1">
        <f t="array" aca="1" ref="J223" ca="1">$E223*J$220^$F223*(J221/$E221)^0.2*_p_days</f>
        <v>61.587969802121023</v>
      </c>
      <c r="K223" s="812" cm="1">
        <f t="array" aca="1" ref="K223" ca="1">$E223*K$220^$F223*(K221/$E221)^0.2*_p_days</f>
        <v>61.587969802121023</v>
      </c>
      <c r="L223" s="812" cm="1">
        <f t="array" aca="1" ref="L223" ca="1">$E223*L$220^$F223*(L221/$E221)^0.2*_p_days</f>
        <v>61.587969802121023</v>
      </c>
      <c r="M223" s="812" cm="1">
        <f t="array" aca="1" ref="M223" ca="1">$E223*M$220^$F223*(M221/$E221)^0.2*_p_days</f>
        <v>61.587969802121023</v>
      </c>
      <c r="N223" s="44"/>
      <c r="O223" s="44"/>
      <c r="P223" s="44"/>
    </row>
    <row r="224" spans="2:16" ht="14" x14ac:dyDescent="0.2">
      <c r="C224" s="8" t="s">
        <v>1175</v>
      </c>
      <c r="D224" s="693" t="str">
        <f>IF($E$474&gt;1, "x", "")</f>
        <v/>
      </c>
      <c r="E224" s="110">
        <f>'Cost Input'!F157</f>
        <v>16000</v>
      </c>
      <c r="F224" s="1048">
        <f>'Cost Input'!G157</f>
        <v>0.95</v>
      </c>
      <c r="G224" s="104" cm="1">
        <f t="array" aca="1" ref="G224" ca="1">$E224*(IF($D322 = "x", 1/G$476, 1)*G$220)^$F224*_p_days</f>
        <v>13046.885374925518</v>
      </c>
      <c r="H224" s="64" cm="1">
        <f t="array" aca="1" ref="H224" ca="1">$E224*(IF($D322 = "x", 1/H$476, 1)*H$220)^$F224*_p_days</f>
        <v>13046.885374925518</v>
      </c>
      <c r="I224" s="64" cm="1">
        <f t="array" aca="1" ref="I224" ca="1">$E224*(IF($D322 = "x", 1/I$476, 1)*I$220)^$F224*_p_days</f>
        <v>13046.885374925518</v>
      </c>
      <c r="J224" s="64" cm="1">
        <f t="array" aca="1" ref="J224" ca="1">$E224*(IF($D322 = "x", 1/J$476, 1)*J$220)^$F224*_p_days</f>
        <v>13046.885374925518</v>
      </c>
      <c r="K224" s="64" cm="1">
        <f t="array" aca="1" ref="K224" ca="1">$E224*(IF($D322 = "x", 1/K$476, 1)*K$220)^$F224*_p_days</f>
        <v>13046.885374925518</v>
      </c>
      <c r="L224" s="64" cm="1">
        <f t="array" aca="1" ref="L224" ca="1">$E224*(IF($D322 = "x", 1/L$476, 1)*L$220)^$F224*_p_days</f>
        <v>13046.885374925518</v>
      </c>
      <c r="M224" s="64" cm="1">
        <f t="array" aca="1" ref="M224" ca="1">$E224*(IF($D322 = "x", 1/M$476, 1)*M$220)^$F224*_p_days</f>
        <v>13046.885374925518</v>
      </c>
      <c r="N224" s="44"/>
      <c r="O224" s="44"/>
      <c r="P224" s="44"/>
    </row>
    <row r="225" spans="2:16" x14ac:dyDescent="0.15">
      <c r="C225" s="8" t="s">
        <v>1182</v>
      </c>
      <c r="D225" s="693"/>
      <c r="E225" s="110">
        <f>'Cost Input'!F158</f>
        <v>7200</v>
      </c>
      <c r="F225" s="1048">
        <f>'Cost Input'!G158</f>
        <v>0.95</v>
      </c>
      <c r="G225" s="104" cm="1">
        <f t="array" aca="1" ref="G225" ca="1">$E225*(IF($D324 = "x", 1/G$476, 1)*G$220)^$F225*_p_days</f>
        <v>5871.0984187164831</v>
      </c>
      <c r="H225" s="64" cm="1">
        <f t="array" aca="1" ref="H225" ca="1">$E225*(IF($D324 = "x", 1/H$476, 1)*H$220)^$F225*_p_days</f>
        <v>5871.0984187164831</v>
      </c>
      <c r="I225" s="64" cm="1">
        <f t="array" aca="1" ref="I225" ca="1">$E225*(IF($D324 = "x", 1/I$476, 1)*I$220)^$F225*_p_days</f>
        <v>5871.0984187164831</v>
      </c>
      <c r="J225" s="64" cm="1">
        <f t="array" aca="1" ref="J225" ca="1">$E225*(IF($D324 = "x", 1/J$476, 1)*J$220)^$F225*_p_days</f>
        <v>5871.0984187164831</v>
      </c>
      <c r="K225" s="64" cm="1">
        <f t="array" aca="1" ref="K225" ca="1">$E225*(IF($D324 = "x", 1/K$476, 1)*K$220)^$F225*_p_days</f>
        <v>5871.0984187164831</v>
      </c>
      <c r="L225" s="64" cm="1">
        <f t="array" aca="1" ref="L225" ca="1">$E225*(IF($D324 = "x", 1/L$476, 1)*L$220)^$F225*_p_days</f>
        <v>5871.0984187164831</v>
      </c>
      <c r="M225" s="64" cm="1">
        <f t="array" aca="1" ref="M225" ca="1">$E225*(IF($D324 = "x", 1/M$476, 1)*M$220)^$F225*_p_days</f>
        <v>5871.0984187164831</v>
      </c>
      <c r="N225" s="44"/>
      <c r="O225" s="44"/>
      <c r="P225" s="44"/>
    </row>
    <row r="226" spans="2:16" x14ac:dyDescent="0.15">
      <c r="C226" s="8" t="s">
        <v>1183</v>
      </c>
      <c r="D226" s="46"/>
      <c r="E226" s="110"/>
      <c r="F226" s="1048"/>
      <c r="G226" s="104">
        <f ca="1">G21*(INDEX(Lists!$AR$143:$AR$144,MATCH(Chem!$C$44,Lists!$AP$143:$AP$144)))/'Cost Input'!$F$81/24</f>
        <v>4115.2504518290034</v>
      </c>
      <c r="H226" s="104">
        <f ca="1">H21*(INDEX(Lists!$AR$143:$AR$144,MATCH(Chem!$C$44,Lists!$AP$143:$AP$144)))/'Cost Input'!$F$81/24</f>
        <v>4115.2504518290034</v>
      </c>
      <c r="I226" s="104">
        <f ca="1">I21*(INDEX(Lists!$AR$143:$AR$144,MATCH(Chem!$C$44,Lists!$AP$143:$AP$144)))/'Cost Input'!$F$81/24</f>
        <v>4115.2504518290034</v>
      </c>
      <c r="J226" s="104">
        <f ca="1">J21*(INDEX(Lists!$AR$143:$AR$144,MATCH(Chem!$C$44,Lists!$AP$143:$AP$144)))/'Cost Input'!$F$81/24</f>
        <v>4115.2504518290034</v>
      </c>
      <c r="K226" s="104">
        <f ca="1">K21*(INDEX(Lists!$AR$143:$AR$144,MATCH(Chem!$C$44,Lists!$AP$143:$AP$144)))/'Cost Input'!$F$81/24</f>
        <v>4115.2504518290034</v>
      </c>
      <c r="L226" s="104">
        <f ca="1">L21*(INDEX(Lists!$AR$143:$AR$144,MATCH(Chem!$C$44,Lists!$AP$143:$AP$144)))/'Cost Input'!$F$81/24</f>
        <v>4115.2504518290034</v>
      </c>
      <c r="M226" s="104">
        <f ca="1">M21*(INDEX(Lists!$AR$143:$AR$144,MATCH(Chem!$C$44,Lists!$AP$143:$AP$144)))/'Cost Input'!$F$81/24</f>
        <v>4115.2504518290034</v>
      </c>
      <c r="N226" s="44"/>
      <c r="O226" s="44"/>
      <c r="P226" s="44"/>
    </row>
    <row r="227" spans="2:16" x14ac:dyDescent="0.15">
      <c r="C227" s="8" t="s">
        <v>1184</v>
      </c>
      <c r="D227" s="46"/>
      <c r="E227" s="110"/>
      <c r="F227" s="1048"/>
      <c r="G227" s="104">
        <f ca="1">SUM(G225:G226)</f>
        <v>9986.3488705454874</v>
      </c>
      <c r="H227" s="104">
        <f t="shared" ref="H227:M227" ca="1" si="48">SUM(H225:H226)</f>
        <v>9986.3488705454874</v>
      </c>
      <c r="I227" s="104">
        <f t="shared" ca="1" si="48"/>
        <v>9986.3488705454874</v>
      </c>
      <c r="J227" s="104">
        <f t="shared" ca="1" si="48"/>
        <v>9986.3488705454874</v>
      </c>
      <c r="K227" s="104">
        <f t="shared" ca="1" si="48"/>
        <v>9986.3488705454874</v>
      </c>
      <c r="L227" s="104">
        <f t="shared" ca="1" si="48"/>
        <v>9986.3488705454874</v>
      </c>
      <c r="M227" s="104">
        <f t="shared" ca="1" si="48"/>
        <v>9986.3488705454874</v>
      </c>
      <c r="N227" s="44"/>
      <c r="O227" s="44"/>
      <c r="P227" s="44"/>
    </row>
    <row r="228" spans="2:16" x14ac:dyDescent="0.15">
      <c r="C228" s="8"/>
      <c r="D228" s="46"/>
      <c r="E228" s="110"/>
      <c r="F228" s="113"/>
      <c r="G228" s="104"/>
      <c r="H228" s="104"/>
      <c r="I228" s="104"/>
      <c r="J228" s="104"/>
      <c r="K228" s="104"/>
      <c r="L228" s="104"/>
      <c r="M228" s="104"/>
      <c r="N228" s="44"/>
      <c r="O228" s="44"/>
      <c r="P228" s="44"/>
    </row>
    <row r="229" spans="2:16" ht="14" x14ac:dyDescent="0.15">
      <c r="B229" s="507" t="s">
        <v>1187</v>
      </c>
      <c r="E229" s="110"/>
      <c r="F229" s="113"/>
      <c r="G229" s="10"/>
      <c r="H229" s="10"/>
      <c r="I229" s="10"/>
      <c r="J229" s="10"/>
      <c r="K229" s="10"/>
      <c r="L229" s="10"/>
      <c r="M229" s="10"/>
      <c r="N229" s="44"/>
      <c r="O229" s="44"/>
      <c r="P229" s="44"/>
    </row>
    <row r="230" spans="2:16" x14ac:dyDescent="0.15">
      <c r="B230" s="225" t="s">
        <v>1179</v>
      </c>
      <c r="E230" s="110"/>
      <c r="F230" s="113"/>
      <c r="G230" s="10"/>
      <c r="H230" s="10"/>
      <c r="I230" s="10"/>
      <c r="J230" s="10"/>
      <c r="K230" s="10"/>
      <c r="L230" s="10"/>
      <c r="M230" s="10"/>
      <c r="N230" s="44"/>
      <c r="O230" s="44"/>
      <c r="P230" s="44"/>
    </row>
    <row r="231" spans="2:16" x14ac:dyDescent="0.15">
      <c r="C231" s="8" t="s">
        <v>1180</v>
      </c>
      <c r="E231" s="110"/>
      <c r="F231" s="113"/>
      <c r="G231" s="117">
        <f ca="1">G16/'Cost Input'!$F$348</f>
        <v>0.8099127582376664</v>
      </c>
      <c r="H231" s="117">
        <f ca="1">H16/'Cost Input'!$F$348</f>
        <v>0.8099127582376664</v>
      </c>
      <c r="I231" s="117">
        <f ca="1">I16/'Cost Input'!$F$348</f>
        <v>0.8099127582376664</v>
      </c>
      <c r="J231" s="117">
        <f ca="1">J16/'Cost Input'!$F$348</f>
        <v>0.8099127582376664</v>
      </c>
      <c r="K231" s="117">
        <f ca="1">K16/'Cost Input'!$F$348</f>
        <v>0.8099127582376664</v>
      </c>
      <c r="L231" s="117">
        <f ca="1">L16/'Cost Input'!$F$348</f>
        <v>0.8099127582376664</v>
      </c>
      <c r="M231" s="117">
        <f ca="1">M16/'Cost Input'!$F$348</f>
        <v>0.8099127582376664</v>
      </c>
      <c r="N231" s="811">
        <f>N16/'Cost Input'!$F$348</f>
        <v>0</v>
      </c>
      <c r="O231" s="44"/>
      <c r="P231" s="44"/>
    </row>
    <row r="232" spans="2:16" x14ac:dyDescent="0.15">
      <c r="C232" s="8" t="s">
        <v>1173</v>
      </c>
      <c r="D232" s="476"/>
      <c r="E232" s="110">
        <f>'Cost Input'!F164</f>
        <v>47000</v>
      </c>
      <c r="F232" s="1048">
        <f>'Cost Input'!G164</f>
        <v>0.7</v>
      </c>
      <c r="G232" s="104">
        <f t="shared" ref="G232:M232" ca="1" si="49">$E232*(IF($D232 = "x", 1/G$476, 1)*G231)^$F232</f>
        <v>40551.285498017955</v>
      </c>
      <c r="H232" s="104">
        <f t="shared" ca="1" si="49"/>
        <v>40551.285498017955</v>
      </c>
      <c r="I232" s="104">
        <f t="shared" ca="1" si="49"/>
        <v>40551.285498017955</v>
      </c>
      <c r="J232" s="104">
        <f t="shared" ca="1" si="49"/>
        <v>40551.285498017955</v>
      </c>
      <c r="K232" s="104">
        <f t="shared" ca="1" si="49"/>
        <v>40551.285498017955</v>
      </c>
      <c r="L232" s="104">
        <f t="shared" ca="1" si="49"/>
        <v>40551.285498017955</v>
      </c>
      <c r="M232" s="104">
        <f t="shared" ca="1" si="49"/>
        <v>40551.285498017955</v>
      </c>
      <c r="N232" s="44"/>
      <c r="O232" s="44"/>
      <c r="P232" s="44"/>
    </row>
    <row r="233" spans="2:16" x14ac:dyDescent="0.15">
      <c r="C233" s="8" t="s">
        <v>1174</v>
      </c>
      <c r="D233" s="693" t="str">
        <f>IF($E$474&gt;2, "x", "")</f>
        <v/>
      </c>
      <c r="E233" s="810">
        <f>'Cost Input'!F165</f>
        <v>22.25</v>
      </c>
      <c r="F233" s="1048">
        <f>'Cost Input'!G165</f>
        <v>0.9</v>
      </c>
      <c r="G233" s="116" cm="1">
        <f t="array" aca="1" ref="G233" ca="1">$E233*(IF($D233 = "x", 1/G$476, 1)*G231)^$F233*_p_days</f>
        <v>18.404517299960613</v>
      </c>
      <c r="H233" s="116" cm="1">
        <f t="array" aca="1" ref="H233" ca="1">$E233*(IF($D233 = "x", 1/H$476, 1)*H231)^$F233*_p_days</f>
        <v>18.404517299960613</v>
      </c>
      <c r="I233" s="116" cm="1">
        <f t="array" aca="1" ref="I233" ca="1">$E233*(IF($D233 = "x", 1/I$476, 1)*I231)^$F233*_p_days</f>
        <v>18.404517299960613</v>
      </c>
      <c r="J233" s="116" cm="1">
        <f t="array" aca="1" ref="J233" ca="1">$E233*(IF($D233 = "x", 1/J$476, 1)*J231)^$F233*_p_days</f>
        <v>18.404517299960613</v>
      </c>
      <c r="K233" s="116" cm="1">
        <f t="array" aca="1" ref="K233" ca="1">$E233*(IF($D233 = "x", 1/K$476, 1)*K231)^$F233*_p_days</f>
        <v>18.404517299960613</v>
      </c>
      <c r="L233" s="116" cm="1">
        <f t="array" aca="1" ref="L233" ca="1">$E233*(IF($D233 = "x", 1/L$476, 1)*L231)^$F233*_p_days</f>
        <v>18.404517299960613</v>
      </c>
      <c r="M233" s="116" cm="1">
        <f t="array" aca="1" ref="M233" ca="1">$E233*(IF($D233 = "x", 1/M$476, 1)*M231)^$F233*_p_days</f>
        <v>18.404517299960613</v>
      </c>
      <c r="N233" s="44"/>
      <c r="O233" s="44"/>
      <c r="P233" s="44"/>
    </row>
    <row r="234" spans="2:16" ht="14" x14ac:dyDescent="0.2">
      <c r="C234" s="8" t="s">
        <v>1175</v>
      </c>
      <c r="D234" s="693" t="str">
        <f>IF($E$474&gt;1, "x", "")</f>
        <v/>
      </c>
      <c r="E234" s="110">
        <f>'Cost Input'!F166</f>
        <v>2100</v>
      </c>
      <c r="F234" s="1048">
        <f>'Cost Input'!G166</f>
        <v>0.95</v>
      </c>
      <c r="G234" s="104" cm="1">
        <f t="array" aca="1" ref="G234" ca="1">$E234*(IF($D234 = "x", 1/G$476, 1)*G231)^$F234*_p_days</f>
        <v>1718.8406775414462</v>
      </c>
      <c r="H234" s="104" cm="1">
        <f t="array" aca="1" ref="H234" ca="1">$E234*(IF($D234 = "x", 1/H$476, 1)*H231)^$F234*_p_days</f>
        <v>1718.8406775414462</v>
      </c>
      <c r="I234" s="104" cm="1">
        <f t="array" aca="1" ref="I234" ca="1">$E234*(IF($D234 = "x", 1/I$476, 1)*I231)^$F234*_p_days</f>
        <v>1718.8406775414462</v>
      </c>
      <c r="J234" s="104" cm="1">
        <f t="array" aca="1" ref="J234" ca="1">$E234*(IF($D234 = "x", 1/J$476, 1)*J231)^$F234*_p_days</f>
        <v>1718.8406775414462</v>
      </c>
      <c r="K234" s="104" cm="1">
        <f t="array" aca="1" ref="K234" ca="1">$E234*(IF($D234 = "x", 1/K$476, 1)*K231)^$F234*_p_days</f>
        <v>1718.8406775414462</v>
      </c>
      <c r="L234" s="104" cm="1">
        <f t="array" aca="1" ref="L234" ca="1">$E234*(IF($D234 = "x", 1/L$476, 1)*L231)^$F234*_p_days</f>
        <v>1718.8406775414462</v>
      </c>
      <c r="M234" s="104" cm="1">
        <f t="array" aca="1" ref="M234" ca="1">$E234*(IF($D234 = "x", 1/M$476, 1)*M231)^$F234*_p_days</f>
        <v>1718.8406775414462</v>
      </c>
      <c r="N234" s="44"/>
      <c r="O234" s="44"/>
      <c r="P234" s="44"/>
    </row>
    <row r="235" spans="2:16" x14ac:dyDescent="0.15">
      <c r="C235" s="8" t="s">
        <v>1184</v>
      </c>
      <c r="D235" s="693"/>
      <c r="E235" s="110">
        <f>'Cost Input'!F167</f>
        <v>900</v>
      </c>
      <c r="F235" s="1048">
        <f>'Cost Input'!G167</f>
        <v>0.95</v>
      </c>
      <c r="G235" s="104" cm="1">
        <f t="array" aca="1" ref="G235" ca="1">$E235*(IF($D235 = "x", 1/G$476, 1)*G231)^$F235*_p_days</f>
        <v>736.64600466061972</v>
      </c>
      <c r="H235" s="104" cm="1">
        <f t="array" aca="1" ref="H235" ca="1">$E235*(IF($D235 = "x", 1/H$476, 1)*H231)^$F235*_p_days</f>
        <v>736.64600466061972</v>
      </c>
      <c r="I235" s="104" cm="1">
        <f t="array" aca="1" ref="I235" ca="1">$E235*(IF($D235 = "x", 1/I$476, 1)*I231)^$F235*_p_days</f>
        <v>736.64600466061972</v>
      </c>
      <c r="J235" s="104" cm="1">
        <f t="array" aca="1" ref="J235" ca="1">$E235*(IF($D235 = "x", 1/J$476, 1)*J231)^$F235*_p_days</f>
        <v>736.64600466061972</v>
      </c>
      <c r="K235" s="104" cm="1">
        <f t="array" aca="1" ref="K235" ca="1">$E235*(IF($D235 = "x", 1/K$476, 1)*K231)^$F235*_p_days</f>
        <v>736.64600466061972</v>
      </c>
      <c r="L235" s="104" cm="1">
        <f t="array" aca="1" ref="L235" ca="1">$E235*(IF($D235 = "x", 1/L$476, 1)*L231)^$F235*_p_days</f>
        <v>736.64600466061972</v>
      </c>
      <c r="M235" s="104" cm="1">
        <f t="array" aca="1" ref="M235" ca="1">$E235*(IF($D235 = "x", 1/M$476, 1)*M231)^$F235*_p_days</f>
        <v>736.64600466061972</v>
      </c>
      <c r="N235" s="44"/>
      <c r="O235" s="44"/>
      <c r="P235" s="44"/>
    </row>
    <row r="236" spans="2:16" x14ac:dyDescent="0.15">
      <c r="C236" s="8"/>
      <c r="D236" s="46"/>
      <c r="E236" s="110"/>
      <c r="F236" s="113"/>
      <c r="G236" s="104"/>
      <c r="H236" s="104"/>
      <c r="I236" s="104"/>
      <c r="J236" s="104"/>
      <c r="K236" s="104"/>
      <c r="L236" s="104"/>
      <c r="M236" s="104"/>
      <c r="N236" s="44"/>
      <c r="O236" s="44"/>
      <c r="P236" s="44"/>
    </row>
    <row r="237" spans="2:16" x14ac:dyDescent="0.15">
      <c r="B237" s="225" t="s">
        <v>1185</v>
      </c>
      <c r="E237" s="110"/>
      <c r="F237" s="113"/>
      <c r="G237" s="8"/>
      <c r="H237" s="8"/>
      <c r="I237" s="8"/>
      <c r="J237" s="8"/>
      <c r="K237" s="8"/>
      <c r="L237" s="8"/>
      <c r="M237" s="8"/>
      <c r="N237" s="44"/>
      <c r="O237" s="44"/>
      <c r="P237" s="44"/>
    </row>
    <row r="238" spans="2:16" x14ac:dyDescent="0.15">
      <c r="C238" s="8" t="s">
        <v>1180</v>
      </c>
      <c r="E238" s="110"/>
      <c r="F238" s="113"/>
      <c r="G238" s="120">
        <f ca="1">G17/'Cost Input'!$F$349</f>
        <v>0.80672035469228331</v>
      </c>
      <c r="H238" s="120">
        <f ca="1">H17/'Cost Input'!$F$349</f>
        <v>0.80672035469228331</v>
      </c>
      <c r="I238" s="120">
        <f ca="1">I17/'Cost Input'!$F$349</f>
        <v>0.80672035469228331</v>
      </c>
      <c r="J238" s="120">
        <f ca="1">J17/'Cost Input'!$F$349</f>
        <v>0.80672035469228331</v>
      </c>
      <c r="K238" s="120">
        <f ca="1">K17/'Cost Input'!$F$349</f>
        <v>0.80672035469228331</v>
      </c>
      <c r="L238" s="120">
        <f ca="1">L17/'Cost Input'!$F$349</f>
        <v>0.80672035469228331</v>
      </c>
      <c r="M238" s="120">
        <f ca="1">M17/'Cost Input'!$F$349</f>
        <v>0.80672035469228331</v>
      </c>
      <c r="N238" s="44"/>
      <c r="O238" s="44"/>
      <c r="P238" s="44"/>
    </row>
    <row r="239" spans="2:16" x14ac:dyDescent="0.15">
      <c r="C239" s="8" t="s">
        <v>1173</v>
      </c>
      <c r="D239" s="476"/>
      <c r="E239" s="110">
        <f>'Cost Input'!F171</f>
        <v>53000</v>
      </c>
      <c r="F239" s="1048">
        <f>'Cost Input'!G171</f>
        <v>0.7</v>
      </c>
      <c r="G239" s="104">
        <f t="shared" ref="G239:M239" ca="1" si="50">$E239*(IF($D239 = "x", 1/G$476, 1)*G238)^$F239</f>
        <v>45601.799425838552</v>
      </c>
      <c r="H239" s="104">
        <f t="shared" ca="1" si="50"/>
        <v>45601.799425838552</v>
      </c>
      <c r="I239" s="104">
        <f t="shared" ca="1" si="50"/>
        <v>45601.799425838552</v>
      </c>
      <c r="J239" s="104">
        <f t="shared" ca="1" si="50"/>
        <v>45601.799425838552</v>
      </c>
      <c r="K239" s="104">
        <f t="shared" ca="1" si="50"/>
        <v>45601.799425838552</v>
      </c>
      <c r="L239" s="104">
        <f t="shared" ca="1" si="50"/>
        <v>45601.799425838552</v>
      </c>
      <c r="M239" s="104">
        <f t="shared" ca="1" si="50"/>
        <v>45601.799425838552</v>
      </c>
      <c r="N239" s="44"/>
      <c r="O239" s="44"/>
      <c r="P239" s="44"/>
    </row>
    <row r="240" spans="2:16" x14ac:dyDescent="0.15">
      <c r="C240" s="8" t="s">
        <v>1174</v>
      </c>
      <c r="D240" s="693" t="str">
        <f>IF($E$474&gt;2, "x", "")</f>
        <v/>
      </c>
      <c r="E240" s="810">
        <f>'Cost Input'!F172</f>
        <v>22.25</v>
      </c>
      <c r="F240" s="1048">
        <f>'Cost Input'!G172</f>
        <v>0.9</v>
      </c>
      <c r="G240" s="116" cm="1">
        <f t="array" aca="1" ref="G240" ca="1">$E240*(IF($D240 = "x", 1/G$476, 1)*G238)^$F240*_p_days</f>
        <v>18.339214441345437</v>
      </c>
      <c r="H240" s="116" cm="1">
        <f t="array" aca="1" ref="H240" ca="1">$E240*(IF($D240 = "x", 1/H$476, 1)*H238)^$F240*_p_days</f>
        <v>18.339214441345437</v>
      </c>
      <c r="I240" s="116" cm="1">
        <f t="array" aca="1" ref="I240" ca="1">$E240*(IF($D240 = "x", 1/I$476, 1)*I238)^$F240*_p_days</f>
        <v>18.339214441345437</v>
      </c>
      <c r="J240" s="116" cm="1">
        <f t="array" aca="1" ref="J240" ca="1">$E240*(IF($D240 = "x", 1/J$476, 1)*J238)^$F240*_p_days</f>
        <v>18.339214441345437</v>
      </c>
      <c r="K240" s="116" cm="1">
        <f t="array" aca="1" ref="K240" ca="1">$E240*(IF($D240 = "x", 1/K$476, 1)*K238)^$F240*_p_days</f>
        <v>18.339214441345437</v>
      </c>
      <c r="L240" s="116" cm="1">
        <f t="array" aca="1" ref="L240" ca="1">$E240*(IF($D240 = "x", 1/L$476, 1)*L238)^$F240*_p_days</f>
        <v>18.339214441345437</v>
      </c>
      <c r="M240" s="116" cm="1">
        <f t="array" aca="1" ref="M240" ca="1">$E240*(IF($D240 = "x", 1/M$476, 1)*M238)^$F240*_p_days</f>
        <v>18.339214441345437</v>
      </c>
      <c r="N240" s="44"/>
      <c r="O240" s="44"/>
      <c r="P240" s="44"/>
    </row>
    <row r="241" spans="2:16" ht="14" x14ac:dyDescent="0.2">
      <c r="C241" s="8" t="s">
        <v>1175</v>
      </c>
      <c r="D241" s="693" t="str">
        <f>IF($E$474&gt;1, "x", "")</f>
        <v/>
      </c>
      <c r="E241" s="110">
        <f>'Cost Input'!F173</f>
        <v>2100</v>
      </c>
      <c r="F241" s="1048">
        <f>'Cost Input'!G173</f>
        <v>0.95</v>
      </c>
      <c r="G241" s="104" cm="1">
        <f t="array" aca="1" ref="G241" ca="1">$E241*(IF($D241 = "x", 1/G$476, 1)*G238)^$F241*_p_days</f>
        <v>1712.4037054589742</v>
      </c>
      <c r="H241" s="104" cm="1">
        <f t="array" aca="1" ref="H241" ca="1">$E241*(IF($D241 = "x", 1/H$476, 1)*H238)^$F241*_p_days</f>
        <v>1712.4037054589742</v>
      </c>
      <c r="I241" s="104" cm="1">
        <f t="array" aca="1" ref="I241" ca="1">$E241*(IF($D241 = "x", 1/I$476, 1)*I238)^$F241*_p_days</f>
        <v>1712.4037054589742</v>
      </c>
      <c r="J241" s="104" cm="1">
        <f t="array" aca="1" ref="J241" ca="1">$E241*(IF($D241 = "x", 1/J$476, 1)*J238)^$F241*_p_days</f>
        <v>1712.4037054589742</v>
      </c>
      <c r="K241" s="104" cm="1">
        <f t="array" aca="1" ref="K241" ca="1">$E241*(IF($D241 = "x", 1/K$476, 1)*K238)^$F241*_p_days</f>
        <v>1712.4037054589742</v>
      </c>
      <c r="L241" s="104" cm="1">
        <f t="array" aca="1" ref="L241" ca="1">$E241*(IF($D241 = "x", 1/L$476, 1)*L238)^$F241*_p_days</f>
        <v>1712.4037054589742</v>
      </c>
      <c r="M241" s="104" cm="1">
        <f t="array" aca="1" ref="M241" ca="1">$E241*(IF($D241 = "x", 1/M$476, 1)*M238)^$F241*_p_days</f>
        <v>1712.4037054589742</v>
      </c>
      <c r="N241" s="44"/>
      <c r="O241" s="44"/>
      <c r="P241" s="44"/>
    </row>
    <row r="242" spans="2:16" x14ac:dyDescent="0.15">
      <c r="C242" s="8" t="s">
        <v>1184</v>
      </c>
      <c r="D242" s="693"/>
      <c r="E242" s="110">
        <f>'Cost Input'!F174</f>
        <v>350</v>
      </c>
      <c r="F242" s="1048">
        <f>'Cost Input'!G174</f>
        <v>0.95</v>
      </c>
      <c r="G242" s="104" cm="1">
        <f t="array" aca="1" ref="G242" ca="1">$E242*(IF($D242 = "x", 1/G$476, 1)*G238)^$F242*_p_days</f>
        <v>285.40061757649568</v>
      </c>
      <c r="H242" s="104" cm="1">
        <f t="array" aca="1" ref="H242" ca="1">$E242*(IF($D242 = "x", 1/H$476, 1)*H238)^$F242*_p_days</f>
        <v>285.40061757649568</v>
      </c>
      <c r="I242" s="104" cm="1">
        <f t="array" aca="1" ref="I242" ca="1">$E242*(IF($D242 = "x", 1/I$476, 1)*I238)^$F242*_p_days</f>
        <v>285.40061757649568</v>
      </c>
      <c r="J242" s="104" cm="1">
        <f t="array" aca="1" ref="J242" ca="1">$E242*(IF($D242 = "x", 1/J$476, 1)*J238)^$F242*_p_days</f>
        <v>285.40061757649568</v>
      </c>
      <c r="K242" s="104" cm="1">
        <f t="array" aca="1" ref="K242" ca="1">$E242*(IF($D242 = "x", 1/K$476, 1)*K238)^$F242*_p_days</f>
        <v>285.40061757649568</v>
      </c>
      <c r="L242" s="104" cm="1">
        <f t="array" aca="1" ref="L242" ca="1">$E242*(IF($D242 = "x", 1/L$476, 1)*L238)^$F242*_p_days</f>
        <v>285.40061757649568</v>
      </c>
      <c r="M242" s="104" cm="1">
        <f t="array" aca="1" ref="M242" ca="1">$E242*(IF($D242 = "x", 1/M$476, 1)*M238)^$F242*_p_days</f>
        <v>285.40061757649568</v>
      </c>
      <c r="N242" s="44"/>
      <c r="O242" s="44"/>
      <c r="P242" s="44"/>
    </row>
    <row r="243" spans="2:16" x14ac:dyDescent="0.15">
      <c r="C243" s="8"/>
      <c r="D243" s="46"/>
      <c r="E243" s="110"/>
      <c r="F243" s="113"/>
      <c r="G243" s="104"/>
      <c r="H243" s="104"/>
      <c r="I243" s="104"/>
      <c r="J243" s="104"/>
      <c r="K243" s="104"/>
      <c r="L243" s="104"/>
      <c r="M243" s="104"/>
      <c r="N243" s="44"/>
      <c r="O243" s="44"/>
      <c r="P243" s="44"/>
    </row>
    <row r="244" spans="2:16" ht="14" x14ac:dyDescent="0.15">
      <c r="B244" s="507" t="s">
        <v>1188</v>
      </c>
      <c r="E244" s="810"/>
      <c r="F244" s="1048"/>
      <c r="G244" s="28"/>
      <c r="H244" s="28"/>
      <c r="I244" s="28"/>
      <c r="J244" s="28"/>
      <c r="K244" s="28"/>
      <c r="L244" s="28"/>
      <c r="M244" s="28"/>
      <c r="N244" s="44"/>
      <c r="O244" s="44"/>
      <c r="P244" s="44"/>
    </row>
    <row r="245" spans="2:16" x14ac:dyDescent="0.15">
      <c r="B245" s="225" t="s">
        <v>1179</v>
      </c>
      <c r="E245" s="810"/>
      <c r="F245" s="1048"/>
      <c r="G245" s="28"/>
      <c r="H245" s="28"/>
      <c r="I245" s="28"/>
      <c r="J245" s="28"/>
      <c r="K245" s="28"/>
      <c r="L245" s="28"/>
      <c r="M245" s="28"/>
      <c r="N245" s="44"/>
      <c r="O245" s="44"/>
      <c r="P245" s="44"/>
    </row>
    <row r="246" spans="2:16" x14ac:dyDescent="0.15">
      <c r="C246" s="8" t="s">
        <v>1180</v>
      </c>
      <c r="E246" s="810"/>
      <c r="F246" s="1048"/>
      <c r="G246" s="811">
        <f ca="1">G16/'Cost Input'!$F$348</f>
        <v>0.8099127582376664</v>
      </c>
      <c r="H246" s="811">
        <f ca="1">H16/'Cost Input'!$F$348</f>
        <v>0.8099127582376664</v>
      </c>
      <c r="I246" s="811">
        <f ca="1">I16/'Cost Input'!$F$348</f>
        <v>0.8099127582376664</v>
      </c>
      <c r="J246" s="811">
        <f ca="1">J16/'Cost Input'!$F$348</f>
        <v>0.8099127582376664</v>
      </c>
      <c r="K246" s="811">
        <f ca="1">K16/'Cost Input'!$F$348</f>
        <v>0.8099127582376664</v>
      </c>
      <c r="L246" s="811">
        <f ca="1">L16/'Cost Input'!$F$348</f>
        <v>0.8099127582376664</v>
      </c>
      <c r="M246" s="811">
        <f ca="1">M16/'Cost Input'!$F$348</f>
        <v>0.8099127582376664</v>
      </c>
      <c r="N246" s="44"/>
      <c r="O246" s="44"/>
      <c r="P246" s="44"/>
    </row>
    <row r="247" spans="2:16" x14ac:dyDescent="0.15">
      <c r="C247" s="8" t="s">
        <v>1173</v>
      </c>
      <c r="D247" s="476"/>
      <c r="E247" s="810">
        <f>'Cost Input'!F179</f>
        <v>250000</v>
      </c>
      <c r="F247" s="1048">
        <f>'Cost Input'!G179</f>
        <v>0.7</v>
      </c>
      <c r="G247" s="64">
        <f t="shared" ref="G247:M247" ca="1" si="51">$E247*(IF($D247 = "x", 1/G$476, 1)*G246)^$F247</f>
        <v>215698.32711711677</v>
      </c>
      <c r="H247" s="64">
        <f t="shared" ca="1" si="51"/>
        <v>215698.32711711677</v>
      </c>
      <c r="I247" s="64">
        <f t="shared" ca="1" si="51"/>
        <v>215698.32711711677</v>
      </c>
      <c r="J247" s="64">
        <f t="shared" ca="1" si="51"/>
        <v>215698.32711711677</v>
      </c>
      <c r="K247" s="64">
        <f t="shared" ca="1" si="51"/>
        <v>215698.32711711677</v>
      </c>
      <c r="L247" s="64">
        <f t="shared" ca="1" si="51"/>
        <v>215698.32711711677</v>
      </c>
      <c r="M247" s="64">
        <f t="shared" ca="1" si="51"/>
        <v>215698.32711711677</v>
      </c>
      <c r="N247" s="44"/>
      <c r="O247" s="44"/>
      <c r="P247" s="44"/>
    </row>
    <row r="248" spans="2:16" x14ac:dyDescent="0.15">
      <c r="C248" s="8" t="s">
        <v>1174</v>
      </c>
      <c r="D248" s="476" t="str">
        <f>IF($E$474&gt;2, "x", "")</f>
        <v/>
      </c>
      <c r="E248" s="810">
        <f>'Cost Input'!F180</f>
        <v>26.39</v>
      </c>
      <c r="F248" s="1048">
        <f>'Cost Input'!G180</f>
        <v>0.9</v>
      </c>
      <c r="G248" s="812" cm="1">
        <f t="array" aca="1" ref="G248" ca="1">$E248*(IF($D248 = "x", 1/G$476, 1)*G246)^$F248*_p_days</f>
        <v>21.828998271728569</v>
      </c>
      <c r="H248" s="812" cm="1">
        <f t="array" aca="1" ref="H248" ca="1">$E248*(IF($D248 = "x", 1/H$476, 1)*H246)^$F248*_p_days</f>
        <v>21.828998271728569</v>
      </c>
      <c r="I248" s="812" cm="1">
        <f t="array" aca="1" ref="I248" ca="1">$E248*(IF($D248 = "x", 1/I$476, 1)*I246)^$F248*_p_days</f>
        <v>21.828998271728569</v>
      </c>
      <c r="J248" s="812" cm="1">
        <f t="array" aca="1" ref="J248" ca="1">$E248*(IF($D248 = "x", 1/J$476, 1)*J246)^$F248*_p_days</f>
        <v>21.828998271728569</v>
      </c>
      <c r="K248" s="812" cm="1">
        <f t="array" aca="1" ref="K248" ca="1">$E248*(IF($D248 = "x", 1/K$476, 1)*K246)^$F248*_p_days</f>
        <v>21.828998271728569</v>
      </c>
      <c r="L248" s="812" cm="1">
        <f t="array" aca="1" ref="L248" ca="1">$E248*(IF($D248 = "x", 1/L$476, 1)*L246)^$F248*_p_days</f>
        <v>21.828998271728569</v>
      </c>
      <c r="M248" s="812" cm="1">
        <f t="array" aca="1" ref="M248" ca="1">$E248*(IF($D248 = "x", 1/M$476, 1)*M246)^$F248*_p_days</f>
        <v>21.828998271728569</v>
      </c>
      <c r="N248" s="44"/>
      <c r="O248" s="44"/>
      <c r="P248" s="44"/>
    </row>
    <row r="249" spans="2:16" ht="14" x14ac:dyDescent="0.2">
      <c r="C249" s="8" t="s">
        <v>1175</v>
      </c>
      <c r="D249" s="476" t="str">
        <f>IF($E$474&gt;1, "x", "")</f>
        <v/>
      </c>
      <c r="E249" s="810">
        <f>'Cost Input'!F181</f>
        <v>3200</v>
      </c>
      <c r="F249" s="1048">
        <f>'Cost Input'!G181</f>
        <v>0.95</v>
      </c>
      <c r="G249" s="64" cm="1">
        <f t="array" aca="1" ref="G249" ca="1">$E249*(IF($D249 = "x", 1/G$476, 1)*G246)^$F249*_p_days</f>
        <v>2619.1857943488703</v>
      </c>
      <c r="H249" s="64" cm="1">
        <f t="array" aca="1" ref="H249" ca="1">$E249*(IF($D249 = "x", 1/H$476, 1)*H246)^$F249*_p_days</f>
        <v>2619.1857943488703</v>
      </c>
      <c r="I249" s="64" cm="1">
        <f t="array" aca="1" ref="I249" ca="1">$E249*(IF($D249 = "x", 1/I$476, 1)*I246)^$F249*_p_days</f>
        <v>2619.1857943488703</v>
      </c>
      <c r="J249" s="64" cm="1">
        <f t="array" aca="1" ref="J249" ca="1">$E249*(IF($D249 = "x", 1/J$476, 1)*J246)^$F249*_p_days</f>
        <v>2619.1857943488703</v>
      </c>
      <c r="K249" s="64" cm="1">
        <f t="array" aca="1" ref="K249" ca="1">$E249*(IF($D249 = "x", 1/K$476, 1)*K246)^$F249*_p_days</f>
        <v>2619.1857943488703</v>
      </c>
      <c r="L249" s="64" cm="1">
        <f t="array" aca="1" ref="L249" ca="1">$E249*(IF($D249 = "x", 1/L$476, 1)*L246)^$F249*_p_days</f>
        <v>2619.1857943488703</v>
      </c>
      <c r="M249" s="64" cm="1">
        <f t="array" aca="1" ref="M249" ca="1">$E249*(IF($D249 = "x", 1/M$476, 1)*M246)^$F249*_p_days</f>
        <v>2619.1857943488703</v>
      </c>
      <c r="N249" s="44"/>
      <c r="O249" s="44"/>
      <c r="P249" s="44"/>
    </row>
    <row r="250" spans="2:16" x14ac:dyDescent="0.15">
      <c r="C250" s="8" t="s">
        <v>1184</v>
      </c>
      <c r="D250" s="693"/>
      <c r="E250" s="810">
        <f>'Cost Input'!F182</f>
        <v>1600</v>
      </c>
      <c r="F250" s="1048">
        <f>'Cost Input'!G182</f>
        <v>0.95</v>
      </c>
      <c r="G250" s="64" cm="1">
        <f t="array" aca="1" ref="G250" ca="1">$E250*(IF($D250 = "x", 1/G$476, 1)*G246)^$F250*_p_days</f>
        <v>1309.5928971744352</v>
      </c>
      <c r="H250" s="64" cm="1">
        <f t="array" aca="1" ref="H250" ca="1">$E250*(IF($D250 = "x", 1/H$476, 1)*H246)^$F250*_p_days</f>
        <v>1309.5928971744352</v>
      </c>
      <c r="I250" s="64" cm="1">
        <f t="array" aca="1" ref="I250" ca="1">$E250*(IF($D250 = "x", 1/I$476, 1)*I246)^$F250*_p_days</f>
        <v>1309.5928971744352</v>
      </c>
      <c r="J250" s="64" cm="1">
        <f t="array" aca="1" ref="J250" ca="1">$E250*(IF($D250 = "x", 1/J$476, 1)*J246)^$F250*_p_days</f>
        <v>1309.5928971744352</v>
      </c>
      <c r="K250" s="64" cm="1">
        <f t="array" aca="1" ref="K250" ca="1">$E250*(IF($D250 = "x", 1/K$476, 1)*K246)^$F250*_p_days</f>
        <v>1309.5928971744352</v>
      </c>
      <c r="L250" s="64" cm="1">
        <f t="array" aca="1" ref="L250" ca="1">$E250*(IF($D250 = "x", 1/L$476, 1)*L246)^$F250*_p_days</f>
        <v>1309.5928971744352</v>
      </c>
      <c r="M250" s="64" cm="1">
        <f t="array" aca="1" ref="M250" ca="1">$E250*(IF($D250 = "x", 1/M$476, 1)*M246)^$F250*_p_days</f>
        <v>1309.5928971744352</v>
      </c>
      <c r="N250" s="44"/>
      <c r="O250" s="44"/>
      <c r="P250" s="44"/>
    </row>
    <row r="251" spans="2:16" x14ac:dyDescent="0.15">
      <c r="C251" s="8"/>
      <c r="D251" s="45"/>
      <c r="E251" s="810"/>
      <c r="F251" s="1048"/>
      <c r="G251" s="64"/>
      <c r="H251" s="64"/>
      <c r="I251" s="64"/>
      <c r="J251" s="64"/>
      <c r="K251" s="64"/>
      <c r="L251" s="64"/>
      <c r="M251" s="64"/>
      <c r="N251" s="44"/>
      <c r="O251" s="44"/>
      <c r="P251" s="44"/>
    </row>
    <row r="252" spans="2:16" x14ac:dyDescent="0.15">
      <c r="B252" s="225" t="s">
        <v>1185</v>
      </c>
      <c r="E252" s="810"/>
      <c r="F252" s="1048"/>
      <c r="N252" s="44"/>
      <c r="O252" s="44"/>
      <c r="P252" s="44"/>
    </row>
    <row r="253" spans="2:16" x14ac:dyDescent="0.15">
      <c r="C253" s="8" t="s">
        <v>1180</v>
      </c>
      <c r="E253" s="810"/>
      <c r="F253" s="1048"/>
      <c r="G253" s="34">
        <f ca="1">G17/'Cost Input'!$F$349</f>
        <v>0.80672035469228331</v>
      </c>
      <c r="H253" s="34">
        <f ca="1">H17/'Cost Input'!$F$349</f>
        <v>0.80672035469228331</v>
      </c>
      <c r="I253" s="34">
        <f ca="1">I17/'Cost Input'!$F$349</f>
        <v>0.80672035469228331</v>
      </c>
      <c r="J253" s="34">
        <f ca="1">J17/'Cost Input'!$F$349</f>
        <v>0.80672035469228331</v>
      </c>
      <c r="K253" s="34">
        <f ca="1">K17/'Cost Input'!$F$349</f>
        <v>0.80672035469228331</v>
      </c>
      <c r="L253" s="34">
        <f ca="1">L17/'Cost Input'!$F$349</f>
        <v>0.80672035469228331</v>
      </c>
      <c r="M253" s="34">
        <f ca="1">M17/'Cost Input'!$F$349</f>
        <v>0.80672035469228331</v>
      </c>
      <c r="N253" s="44"/>
      <c r="O253" s="44"/>
      <c r="P253" s="44"/>
    </row>
    <row r="254" spans="2:16" x14ac:dyDescent="0.15">
      <c r="C254" s="8" t="s">
        <v>1173</v>
      </c>
      <c r="D254" s="476"/>
      <c r="E254" s="810">
        <f>'Cost Input'!F186</f>
        <v>250000</v>
      </c>
      <c r="F254" s="1048">
        <f>'Cost Input'!G186</f>
        <v>0.7</v>
      </c>
      <c r="G254" s="64">
        <f t="shared" ref="G254:M254" ca="1" si="52">$E254*(IF($D254 = "x", 1/G$476, 1)*G253)^$F254</f>
        <v>215102.82748037053</v>
      </c>
      <c r="H254" s="64">
        <f t="shared" ca="1" si="52"/>
        <v>215102.82748037053</v>
      </c>
      <c r="I254" s="64">
        <f t="shared" ca="1" si="52"/>
        <v>215102.82748037053</v>
      </c>
      <c r="J254" s="64">
        <f t="shared" ca="1" si="52"/>
        <v>215102.82748037053</v>
      </c>
      <c r="K254" s="64">
        <f t="shared" ca="1" si="52"/>
        <v>215102.82748037053</v>
      </c>
      <c r="L254" s="64">
        <f t="shared" ca="1" si="52"/>
        <v>215102.82748037053</v>
      </c>
      <c r="M254" s="64">
        <f t="shared" ca="1" si="52"/>
        <v>215102.82748037053</v>
      </c>
      <c r="N254" s="44"/>
      <c r="O254" s="44"/>
      <c r="P254" s="44"/>
    </row>
    <row r="255" spans="2:16" x14ac:dyDescent="0.15">
      <c r="C255" s="8" t="s">
        <v>1174</v>
      </c>
      <c r="D255" s="476" t="str">
        <f>IF($E$474&gt;2, "x", "")</f>
        <v/>
      </c>
      <c r="E255" s="810">
        <f>'Cost Input'!F187</f>
        <v>26.39</v>
      </c>
      <c r="F255" s="1048">
        <f>'Cost Input'!G187</f>
        <v>0.9</v>
      </c>
      <c r="G255" s="812" cm="1">
        <f t="array" aca="1" ref="G255" ca="1">$E255*(IF($D255 = "x", 1/G$476, 1)*G253)^$F255*_p_days</f>
        <v>21.751544678971062</v>
      </c>
      <c r="H255" s="812" cm="1">
        <f t="array" aca="1" ref="H255" ca="1">$E255*(IF($D255 = "x", 1/H$476, 1)*H253)^$F255*_p_days</f>
        <v>21.751544678971062</v>
      </c>
      <c r="I255" s="812" cm="1">
        <f t="array" aca="1" ref="I255" ca="1">$E255*(IF($D255 = "x", 1/I$476, 1)*I253)^$F255*_p_days</f>
        <v>21.751544678971062</v>
      </c>
      <c r="J255" s="812" cm="1">
        <f t="array" aca="1" ref="J255" ca="1">$E255*(IF($D255 = "x", 1/J$476, 1)*J253)^$F255*_p_days</f>
        <v>21.751544678971062</v>
      </c>
      <c r="K255" s="812" cm="1">
        <f t="array" aca="1" ref="K255" ca="1">$E255*(IF($D255 = "x", 1/K$476, 1)*K253)^$F255*_p_days</f>
        <v>21.751544678971062</v>
      </c>
      <c r="L255" s="812" cm="1">
        <f t="array" aca="1" ref="L255" ca="1">$E255*(IF($D255 = "x", 1/L$476, 1)*L253)^$F255*_p_days</f>
        <v>21.751544678971062</v>
      </c>
      <c r="M255" s="812" cm="1">
        <f t="array" aca="1" ref="M255" ca="1">$E255*(IF($D255 = "x", 1/M$476, 1)*M253)^$F255*_p_days</f>
        <v>21.751544678971062</v>
      </c>
      <c r="N255" s="44"/>
      <c r="O255" s="44"/>
      <c r="P255" s="44"/>
    </row>
    <row r="256" spans="2:16" ht="14" x14ac:dyDescent="0.2">
      <c r="C256" s="8" t="s">
        <v>1175</v>
      </c>
      <c r="D256" s="476" t="str">
        <f>IF($E$474&gt;1, "x", "")</f>
        <v/>
      </c>
      <c r="E256" s="810">
        <f>'Cost Input'!F188</f>
        <v>3200</v>
      </c>
      <c r="F256" s="1048">
        <f>'Cost Input'!G188</f>
        <v>0.95</v>
      </c>
      <c r="G256" s="64" cm="1">
        <f t="array" aca="1" ref="G256" ca="1">$E256*(IF($D256 = "x", 1/G$476, 1)*G253)^$F256*_p_days</f>
        <v>2609.3770749851037</v>
      </c>
      <c r="H256" s="64" cm="1">
        <f t="array" aca="1" ref="H256" ca="1">$E256*(IF($D256 = "x", 1/H$476, 1)*H253)^$F256*_p_days</f>
        <v>2609.3770749851037</v>
      </c>
      <c r="I256" s="64" cm="1">
        <f t="array" aca="1" ref="I256" ca="1">$E256*(IF($D256 = "x", 1/I$476, 1)*I253)^$F256*_p_days</f>
        <v>2609.3770749851037</v>
      </c>
      <c r="J256" s="64" cm="1">
        <f t="array" aca="1" ref="J256" ca="1">$E256*(IF($D256 = "x", 1/J$476, 1)*J253)^$F256*_p_days</f>
        <v>2609.3770749851037</v>
      </c>
      <c r="K256" s="64" cm="1">
        <f t="array" aca="1" ref="K256" ca="1">$E256*(IF($D256 = "x", 1/K$476, 1)*K253)^$F256*_p_days</f>
        <v>2609.3770749851037</v>
      </c>
      <c r="L256" s="64" cm="1">
        <f t="array" aca="1" ref="L256" ca="1">$E256*(IF($D256 = "x", 1/L$476, 1)*L253)^$F256*_p_days</f>
        <v>2609.3770749851037</v>
      </c>
      <c r="M256" s="64" cm="1">
        <f t="array" aca="1" ref="M256" ca="1">$E256*(IF($D256 = "x", 1/M$476, 1)*M253)^$F256*_p_days</f>
        <v>2609.3770749851037</v>
      </c>
      <c r="N256" s="44"/>
      <c r="O256" s="44"/>
      <c r="P256" s="44"/>
    </row>
    <row r="257" spans="2:16" x14ac:dyDescent="0.15">
      <c r="C257" s="8" t="s">
        <v>1184</v>
      </c>
      <c r="D257" s="693"/>
      <c r="E257" s="810">
        <f>'Cost Input'!F189</f>
        <v>1700</v>
      </c>
      <c r="F257" s="1048">
        <f>'Cost Input'!G189</f>
        <v>0.95</v>
      </c>
      <c r="G257" s="64" cm="1">
        <f t="array" aca="1" ref="G257" ca="1">$E257*(IF($D257 = "x", 1/G$476, 1)*G253)^$F257*_p_days</f>
        <v>1386.2315710858363</v>
      </c>
      <c r="H257" s="64" cm="1">
        <f t="array" aca="1" ref="H257" ca="1">$E257*(IF($D257 = "x", 1/H$476, 1)*H253)^$F257*_p_days</f>
        <v>1386.2315710858363</v>
      </c>
      <c r="I257" s="64" cm="1">
        <f t="array" aca="1" ref="I257" ca="1">$E257*(IF($D257 = "x", 1/I$476, 1)*I253)^$F257*_p_days</f>
        <v>1386.2315710858363</v>
      </c>
      <c r="J257" s="64" cm="1">
        <f t="array" aca="1" ref="J257" ca="1">$E257*(IF($D257 = "x", 1/J$476, 1)*J253)^$F257*_p_days</f>
        <v>1386.2315710858363</v>
      </c>
      <c r="K257" s="64" cm="1">
        <f t="array" aca="1" ref="K257" ca="1">$E257*(IF($D257 = "x", 1/K$476, 1)*K253)^$F257*_p_days</f>
        <v>1386.2315710858363</v>
      </c>
      <c r="L257" s="64" cm="1">
        <f t="array" aca="1" ref="L257" ca="1">$E257*(IF($D257 = "x", 1/L$476, 1)*L253)^$F257*_p_days</f>
        <v>1386.2315710858363</v>
      </c>
      <c r="M257" s="64" cm="1">
        <f t="array" aca="1" ref="M257" ca="1">$E257*(IF($D257 = "x", 1/M$476, 1)*M253)^$F257*_p_days</f>
        <v>1386.2315710858363</v>
      </c>
      <c r="N257" s="44"/>
      <c r="O257" s="44"/>
      <c r="P257" s="44"/>
    </row>
    <row r="258" spans="2:16" x14ac:dyDescent="0.15">
      <c r="F258" s="1049"/>
    </row>
    <row r="259" spans="2:16" ht="14" x14ac:dyDescent="0.15">
      <c r="B259" s="507" t="s">
        <v>1189</v>
      </c>
      <c r="C259" s="8"/>
      <c r="D259" s="8"/>
      <c r="E259" s="104"/>
      <c r="F259" s="1050"/>
      <c r="G259" s="104"/>
      <c r="H259" s="104"/>
      <c r="I259" s="104"/>
      <c r="J259" s="104"/>
      <c r="K259" s="104"/>
      <c r="L259" s="104"/>
      <c r="M259" s="104"/>
      <c r="N259" s="44"/>
      <c r="O259" s="44"/>
      <c r="P259" s="44"/>
    </row>
    <row r="260" spans="2:16" x14ac:dyDescent="0.15">
      <c r="B260" s="225" t="s">
        <v>1179</v>
      </c>
      <c r="D260" s="8"/>
      <c r="E260" s="104"/>
      <c r="F260" s="1050"/>
      <c r="G260" s="104"/>
      <c r="H260" s="104"/>
      <c r="I260" s="104"/>
      <c r="J260" s="104"/>
      <c r="K260" s="104"/>
      <c r="L260" s="104"/>
      <c r="M260" s="104"/>
      <c r="N260" s="44"/>
      <c r="O260" s="44"/>
      <c r="P260" s="44"/>
    </row>
    <row r="261" spans="2:16" x14ac:dyDescent="0.15">
      <c r="C261" s="8" t="s">
        <v>1180</v>
      </c>
      <c r="D261" s="8"/>
      <c r="E261" s="104"/>
      <c r="F261" s="1050"/>
      <c r="G261" s="117">
        <f ca="1">G16/'Cost Input'!$F$348</f>
        <v>0.8099127582376664</v>
      </c>
      <c r="H261" s="117">
        <f ca="1">H16/'Cost Input'!$F$348</f>
        <v>0.8099127582376664</v>
      </c>
      <c r="I261" s="117">
        <f ca="1">I16/'Cost Input'!$F$348</f>
        <v>0.8099127582376664</v>
      </c>
      <c r="J261" s="117">
        <f ca="1">J16/'Cost Input'!$F$348</f>
        <v>0.8099127582376664</v>
      </c>
      <c r="K261" s="117">
        <f ca="1">K16/'Cost Input'!$F$348</f>
        <v>0.8099127582376664</v>
      </c>
      <c r="L261" s="117">
        <f ca="1">L16/'Cost Input'!$F$348</f>
        <v>0.8099127582376664</v>
      </c>
      <c r="M261" s="117">
        <f ca="1">M16/'Cost Input'!$F$348</f>
        <v>0.8099127582376664</v>
      </c>
      <c r="N261" s="44"/>
      <c r="O261" s="44"/>
      <c r="P261" s="44"/>
    </row>
    <row r="262" spans="2:16" x14ac:dyDescent="0.15">
      <c r="C262" s="8" t="s">
        <v>1173</v>
      </c>
      <c r="D262" s="476"/>
      <c r="E262" s="104">
        <f>'Cost Input'!F194</f>
        <v>41000</v>
      </c>
      <c r="F262" s="1048">
        <f>'Cost Input'!G194</f>
        <v>0.7</v>
      </c>
      <c r="G262" s="104">
        <f t="shared" ref="G262:M262" ca="1" si="53">$E262*(IF($D262 = "x", 1/G$476, 1)*G261)^$F262</f>
        <v>35374.525647207156</v>
      </c>
      <c r="H262" s="104">
        <f t="shared" ca="1" si="53"/>
        <v>35374.525647207156</v>
      </c>
      <c r="I262" s="104">
        <f t="shared" ca="1" si="53"/>
        <v>35374.525647207156</v>
      </c>
      <c r="J262" s="104">
        <f t="shared" ca="1" si="53"/>
        <v>35374.525647207156</v>
      </c>
      <c r="K262" s="104">
        <f t="shared" ca="1" si="53"/>
        <v>35374.525647207156</v>
      </c>
      <c r="L262" s="104">
        <f t="shared" ca="1" si="53"/>
        <v>35374.525647207156</v>
      </c>
      <c r="M262" s="104">
        <f t="shared" ca="1" si="53"/>
        <v>35374.525647207156</v>
      </c>
      <c r="N262" s="44"/>
      <c r="O262" s="44"/>
      <c r="P262" s="44"/>
    </row>
    <row r="263" spans="2:16" x14ac:dyDescent="0.15">
      <c r="C263" s="8" t="s">
        <v>1174</v>
      </c>
      <c r="D263" s="693" t="str">
        <f>IF($E$474&gt;2, "x", "")</f>
        <v/>
      </c>
      <c r="E263" s="64">
        <f>'Cost Input'!F195</f>
        <v>13.58</v>
      </c>
      <c r="F263" s="1048">
        <f>'Cost Input'!G195</f>
        <v>0.9</v>
      </c>
      <c r="G263" s="116" cm="1">
        <f t="array" aca="1" ref="G263" ca="1">$E263*(IF($D263 = "x", 1/G$476, 1)*G261)^$F263*_p_days</f>
        <v>11.232959322852366</v>
      </c>
      <c r="H263" s="116" cm="1">
        <f t="array" aca="1" ref="H263" ca="1">$E263*(IF($D263 = "x", 1/H$476, 1)*H261)^$F263*_p_days</f>
        <v>11.232959322852366</v>
      </c>
      <c r="I263" s="116" cm="1">
        <f t="array" aca="1" ref="I263" ca="1">$E263*(IF($D263 = "x", 1/I$476, 1)*I261)^$F263*_p_days</f>
        <v>11.232959322852366</v>
      </c>
      <c r="J263" s="116" cm="1">
        <f t="array" aca="1" ref="J263" ca="1">$E263*(IF($D263 = "x", 1/J$476, 1)*J261)^$F263*_p_days</f>
        <v>11.232959322852366</v>
      </c>
      <c r="K263" s="116" cm="1">
        <f t="array" aca="1" ref="K263" ca="1">$E263*(IF($D263 = "x", 1/K$476, 1)*K261)^$F263*_p_days</f>
        <v>11.232959322852366</v>
      </c>
      <c r="L263" s="116" cm="1">
        <f t="array" aca="1" ref="L263" ca="1">$E263*(IF($D263 = "x", 1/L$476, 1)*L261)^$F263*_p_days</f>
        <v>11.232959322852366</v>
      </c>
      <c r="M263" s="116" cm="1">
        <f t="array" aca="1" ref="M263" ca="1">$E263*(IF($D263 = "x", 1/M$476, 1)*M261)^$F263*_p_days</f>
        <v>11.232959322852366</v>
      </c>
      <c r="N263" s="44"/>
      <c r="O263" s="44"/>
      <c r="P263" s="44"/>
    </row>
    <row r="264" spans="2:16" ht="14" x14ac:dyDescent="0.2">
      <c r="C264" s="8" t="s">
        <v>1175</v>
      </c>
      <c r="D264" s="693" t="str">
        <f>IF($E$474&gt;1, "x", "")</f>
        <v/>
      </c>
      <c r="E264" s="104">
        <f>'Cost Input'!F196</f>
        <v>1800</v>
      </c>
      <c r="F264" s="1048">
        <f>'Cost Input'!G196</f>
        <v>0.95</v>
      </c>
      <c r="G264" s="104" cm="1">
        <f t="array" aca="1" ref="G264" ca="1">$E264*(IF($D264 = "x", 1/G$476, 1)*G261)^$F264*_p_days</f>
        <v>1473.2920093212394</v>
      </c>
      <c r="H264" s="104" cm="1">
        <f t="array" aca="1" ref="H264" ca="1">$E264*(IF($D264 = "x", 1/H$476, 1)*H261)^$F264*_p_days</f>
        <v>1473.2920093212394</v>
      </c>
      <c r="I264" s="104" cm="1">
        <f t="array" aca="1" ref="I264" ca="1">$E264*(IF($D264 = "x", 1/I$476, 1)*I261)^$F264*_p_days</f>
        <v>1473.2920093212394</v>
      </c>
      <c r="J264" s="104" cm="1">
        <f t="array" aca="1" ref="J264" ca="1">$E264*(IF($D264 = "x", 1/J$476, 1)*J261)^$F264*_p_days</f>
        <v>1473.2920093212394</v>
      </c>
      <c r="K264" s="104" cm="1">
        <f t="array" aca="1" ref="K264" ca="1">$E264*(IF($D264 = "x", 1/K$476, 1)*K261)^$F264*_p_days</f>
        <v>1473.2920093212394</v>
      </c>
      <c r="L264" s="104" cm="1">
        <f t="array" aca="1" ref="L264" ca="1">$E264*(IF($D264 = "x", 1/L$476, 1)*L261)^$F264*_p_days</f>
        <v>1473.2920093212394</v>
      </c>
      <c r="M264" s="104" cm="1">
        <f t="array" aca="1" ref="M264" ca="1">$E264*(IF($D264 = "x", 1/M$476, 1)*M261)^$F264*_p_days</f>
        <v>1473.2920093212394</v>
      </c>
      <c r="N264" s="44"/>
      <c r="O264" s="44"/>
      <c r="P264" s="44"/>
    </row>
    <row r="265" spans="2:16" x14ac:dyDescent="0.15">
      <c r="C265" s="8" t="s">
        <v>1184</v>
      </c>
      <c r="D265" s="693"/>
      <c r="E265" s="104">
        <f>'Cost Input'!F197</f>
        <v>2600</v>
      </c>
      <c r="F265" s="1048">
        <f>'Cost Input'!G197</f>
        <v>0.85</v>
      </c>
      <c r="G265" s="104" cm="1">
        <f t="array" aca="1" ref="G265" ca="1">$E265*(IF($D265 = "x", 1/G$476, 1)*G261)^$F265*_p_days</f>
        <v>2173.4309751576466</v>
      </c>
      <c r="H265" s="104" cm="1">
        <f t="array" aca="1" ref="H265" ca="1">$E265*(IF($D265 = "x", 1/H$476, 1)*H261)^$F265*_p_days</f>
        <v>2173.4309751576466</v>
      </c>
      <c r="I265" s="104" cm="1">
        <f t="array" aca="1" ref="I265" ca="1">$E265*(IF($D265 = "x", 1/I$476, 1)*I261)^$F265*_p_days</f>
        <v>2173.4309751576466</v>
      </c>
      <c r="J265" s="104" cm="1">
        <f t="array" aca="1" ref="J265" ca="1">$E265*(IF($D265 = "x", 1/J$476, 1)*J261)^$F265*_p_days</f>
        <v>2173.4309751576466</v>
      </c>
      <c r="K265" s="104" cm="1">
        <f t="array" aca="1" ref="K265" ca="1">$E265*(IF($D265 = "x", 1/K$476, 1)*K261)^$F265*_p_days</f>
        <v>2173.4309751576466</v>
      </c>
      <c r="L265" s="104" cm="1">
        <f t="array" aca="1" ref="L265" ca="1">$E265*(IF($D265 = "x", 1/L$476, 1)*L261)^$F265*_p_days</f>
        <v>2173.4309751576466</v>
      </c>
      <c r="M265" s="104" cm="1">
        <f t="array" aca="1" ref="M265" ca="1">$E265*(IF($D265 = "x", 1/M$476, 1)*M261)^$F265*_p_days</f>
        <v>2173.4309751576466</v>
      </c>
      <c r="N265" s="104" cm="1">
        <f t="array" ref="N265">$E265*(IF($D265 = "x", 1/N$476, 1)*N261)^$F265*_p_days</f>
        <v>0</v>
      </c>
      <c r="O265" s="44"/>
      <c r="P265" s="44"/>
    </row>
    <row r="266" spans="2:16" x14ac:dyDescent="0.15">
      <c r="C266" s="8"/>
      <c r="D266" s="46"/>
      <c r="E266" s="104"/>
      <c r="F266" s="1048"/>
      <c r="G266" s="104"/>
      <c r="H266" s="104"/>
      <c r="I266" s="104"/>
      <c r="J266" s="104"/>
      <c r="K266" s="104"/>
      <c r="L266" s="104"/>
      <c r="M266" s="104"/>
      <c r="N266" s="44"/>
      <c r="O266" s="44"/>
      <c r="P266" s="44"/>
    </row>
    <row r="267" spans="2:16" x14ac:dyDescent="0.15">
      <c r="B267" s="225" t="s">
        <v>1185</v>
      </c>
      <c r="D267" s="8"/>
      <c r="E267" s="104"/>
      <c r="F267" s="1050"/>
      <c r="G267" s="104"/>
      <c r="H267" s="104"/>
      <c r="I267" s="104"/>
      <c r="J267" s="104"/>
      <c r="K267" s="104"/>
      <c r="L267" s="104"/>
      <c r="M267" s="104"/>
      <c r="N267" s="44"/>
      <c r="O267" s="44"/>
      <c r="P267" s="44"/>
    </row>
    <row r="268" spans="2:16" x14ac:dyDescent="0.15">
      <c r="C268" s="8" t="s">
        <v>1180</v>
      </c>
      <c r="D268" s="8"/>
      <c r="E268" s="104"/>
      <c r="F268" s="1050"/>
      <c r="G268" s="117">
        <f ca="1">G17/'Cost Input'!$F$349</f>
        <v>0.80672035469228331</v>
      </c>
      <c r="H268" s="117">
        <f ca="1">H17/'Cost Input'!$F$349</f>
        <v>0.80672035469228331</v>
      </c>
      <c r="I268" s="117">
        <f ca="1">I17/'Cost Input'!$F$349</f>
        <v>0.80672035469228331</v>
      </c>
      <c r="J268" s="117">
        <f ca="1">J17/'Cost Input'!$F$349</f>
        <v>0.80672035469228331</v>
      </c>
      <c r="K268" s="117">
        <f ca="1">K17/'Cost Input'!$F$349</f>
        <v>0.80672035469228331</v>
      </c>
      <c r="L268" s="117">
        <f ca="1">L17/'Cost Input'!$F$349</f>
        <v>0.80672035469228331</v>
      </c>
      <c r="M268" s="117">
        <f ca="1">M17/'Cost Input'!$F$349</f>
        <v>0.80672035469228331</v>
      </c>
      <c r="N268" s="44"/>
      <c r="O268" s="44"/>
      <c r="P268" s="44"/>
    </row>
    <row r="269" spans="2:16" x14ac:dyDescent="0.15">
      <c r="C269" s="8" t="s">
        <v>1173</v>
      </c>
      <c r="D269" s="476"/>
      <c r="E269" s="104">
        <f>'Cost Input'!F201</f>
        <v>35000</v>
      </c>
      <c r="F269" s="1048">
        <f>'Cost Input'!G201</f>
        <v>0.7</v>
      </c>
      <c r="G269" s="104">
        <f t="shared" ref="G269:M269" ca="1" si="54">$E269*(IF($D269 = "x", 1/G$476, 1)*G268)^$F269</f>
        <v>30114.395847251872</v>
      </c>
      <c r="H269" s="104">
        <f t="shared" ca="1" si="54"/>
        <v>30114.395847251872</v>
      </c>
      <c r="I269" s="104">
        <f t="shared" ca="1" si="54"/>
        <v>30114.395847251872</v>
      </c>
      <c r="J269" s="104">
        <f t="shared" ca="1" si="54"/>
        <v>30114.395847251872</v>
      </c>
      <c r="K269" s="104">
        <f t="shared" ca="1" si="54"/>
        <v>30114.395847251872</v>
      </c>
      <c r="L269" s="104">
        <f t="shared" ca="1" si="54"/>
        <v>30114.395847251872</v>
      </c>
      <c r="M269" s="104">
        <f t="shared" ca="1" si="54"/>
        <v>30114.395847251872</v>
      </c>
      <c r="N269" s="44"/>
      <c r="O269" s="44"/>
      <c r="P269" s="44"/>
    </row>
    <row r="270" spans="2:16" x14ac:dyDescent="0.15">
      <c r="C270" s="8" t="s">
        <v>1174</v>
      </c>
      <c r="D270" s="693" t="str">
        <f>IF($E$474&gt;2, "x", "")</f>
        <v/>
      </c>
      <c r="E270" s="64">
        <f>'Cost Input'!F202</f>
        <v>10.67</v>
      </c>
      <c r="F270" s="1048">
        <f>'Cost Input'!G202</f>
        <v>0.9</v>
      </c>
      <c r="G270" s="116" cm="1">
        <f t="array" aca="1" ref="G270" ca="1">$E270*(IF($D270 = "x", 1/G$476, 1)*G268)^$F270*_p_days</f>
        <v>8.7945805882766663</v>
      </c>
      <c r="H270" s="116" cm="1">
        <f t="array" aca="1" ref="H270" ca="1">$E270*(IF($D270 = "x", 1/H$476, 1)*H268)^$F270*_p_days</f>
        <v>8.7945805882766663</v>
      </c>
      <c r="I270" s="116" cm="1">
        <f t="array" aca="1" ref="I270" ca="1">$E270*(IF($D270 = "x", 1/I$476, 1)*I268)^$F270*_p_days</f>
        <v>8.7945805882766663</v>
      </c>
      <c r="J270" s="116" cm="1">
        <f t="array" aca="1" ref="J270" ca="1">$E270*(IF($D270 = "x", 1/J$476, 1)*J268)^$F270*_p_days</f>
        <v>8.7945805882766663</v>
      </c>
      <c r="K270" s="116" cm="1">
        <f t="array" aca="1" ref="K270" ca="1">$E270*(IF($D270 = "x", 1/K$476, 1)*K268)^$F270*_p_days</f>
        <v>8.7945805882766663</v>
      </c>
      <c r="L270" s="116" cm="1">
        <f t="array" aca="1" ref="L270" ca="1">$E270*(IF($D270 = "x", 1/L$476, 1)*L268)^$F270*_p_days</f>
        <v>8.7945805882766663</v>
      </c>
      <c r="M270" s="116" cm="1">
        <f t="array" aca="1" ref="M270" ca="1">$E270*(IF($D270 = "x", 1/M$476, 1)*M268)^$F270*_p_days</f>
        <v>8.7945805882766663</v>
      </c>
      <c r="N270" s="44"/>
      <c r="O270" s="44"/>
      <c r="P270" s="44"/>
    </row>
    <row r="271" spans="2:16" ht="14" x14ac:dyDescent="0.2">
      <c r="C271" s="8" t="s">
        <v>1175</v>
      </c>
      <c r="D271" s="693" t="str">
        <f>IF($E$474&gt;1, "x", "")</f>
        <v/>
      </c>
      <c r="E271" s="104">
        <f>'Cost Input'!F203</f>
        <v>1400</v>
      </c>
      <c r="F271" s="1048">
        <f>'Cost Input'!G203</f>
        <v>0.95</v>
      </c>
      <c r="G271" s="104" cm="1">
        <f t="array" aca="1" ref="G271" ca="1">$E271*(IF($D271 = "x", 1/G$476, 1)*G268)^$F271*_p_days</f>
        <v>1141.6024703059827</v>
      </c>
      <c r="H271" s="104" cm="1">
        <f t="array" aca="1" ref="H271" ca="1">$E271*(IF($D271 = "x", 1/H$476, 1)*H268)^$F271*_p_days</f>
        <v>1141.6024703059827</v>
      </c>
      <c r="I271" s="104" cm="1">
        <f t="array" aca="1" ref="I271" ca="1">$E271*(IF($D271 = "x", 1/I$476, 1)*I268)^$F271*_p_days</f>
        <v>1141.6024703059827</v>
      </c>
      <c r="J271" s="104" cm="1">
        <f t="array" aca="1" ref="J271" ca="1">$E271*(IF($D271 = "x", 1/J$476, 1)*J268)^$F271*_p_days</f>
        <v>1141.6024703059827</v>
      </c>
      <c r="K271" s="104" cm="1">
        <f t="array" aca="1" ref="K271" ca="1">$E271*(IF($D271 = "x", 1/K$476, 1)*K268)^$F271*_p_days</f>
        <v>1141.6024703059827</v>
      </c>
      <c r="L271" s="104" cm="1">
        <f t="array" aca="1" ref="L271" ca="1">$E271*(IF($D271 = "x", 1/L$476, 1)*L268)^$F271*_p_days</f>
        <v>1141.6024703059827</v>
      </c>
      <c r="M271" s="104" cm="1">
        <f t="array" aca="1" ref="M271" ca="1">$E271*(IF($D271 = "x", 1/M$476, 1)*M268)^$F271*_p_days</f>
        <v>1141.6024703059827</v>
      </c>
    </row>
    <row r="272" spans="2:16" x14ac:dyDescent="0.15">
      <c r="C272" s="8" t="s">
        <v>1184</v>
      </c>
      <c r="D272" s="693"/>
      <c r="E272" s="104">
        <f>'Cost Input'!F204</f>
        <v>2200</v>
      </c>
      <c r="F272" s="1048">
        <f>'Cost Input'!G204</f>
        <v>0.85</v>
      </c>
      <c r="G272" s="104" cm="1">
        <f t="array" aca="1" ref="G272" ca="1">$E272*(IF($D272 = "x", 1/G$476, 1)*G268)^$F272*_p_days</f>
        <v>1832.8935525191234</v>
      </c>
      <c r="H272" s="104" cm="1">
        <f t="array" aca="1" ref="H272" ca="1">$E272*(IF($D272 = "x", 1/H$476, 1)*H268)^$F272*_p_days</f>
        <v>1832.8935525191234</v>
      </c>
      <c r="I272" s="104" cm="1">
        <f t="array" aca="1" ref="I272" ca="1">$E272*(IF($D272 = "x", 1/I$476, 1)*I268)^$F272*_p_days</f>
        <v>1832.8935525191234</v>
      </c>
      <c r="J272" s="104" cm="1">
        <f t="array" aca="1" ref="J272" ca="1">$E272*(IF($D272 = "x", 1/J$476, 1)*J268)^$F272*_p_days</f>
        <v>1832.8935525191234</v>
      </c>
      <c r="K272" s="104" cm="1">
        <f t="array" aca="1" ref="K272" ca="1">$E272*(IF($D272 = "x", 1/K$476, 1)*K268)^$F272*_p_days</f>
        <v>1832.8935525191234</v>
      </c>
      <c r="L272" s="104" cm="1">
        <f t="array" aca="1" ref="L272" ca="1">$E272*(IF($D272 = "x", 1/L$476, 1)*L268)^$F272*_p_days</f>
        <v>1832.8935525191234</v>
      </c>
      <c r="M272" s="104" cm="1">
        <f t="array" aca="1" ref="M272" ca="1">$E272*(IF($D272 = "x", 1/M$476, 1)*M268)^$F272*_p_days</f>
        <v>1832.8935525191234</v>
      </c>
    </row>
    <row r="273" spans="2:16" x14ac:dyDescent="0.15">
      <c r="C273" s="8"/>
      <c r="D273" s="46"/>
      <c r="E273" s="104"/>
      <c r="F273" s="1048"/>
      <c r="G273" s="104"/>
      <c r="H273" s="104"/>
      <c r="I273" s="104"/>
      <c r="J273" s="104"/>
      <c r="K273" s="104"/>
      <c r="L273" s="104"/>
      <c r="M273" s="104"/>
    </row>
    <row r="274" spans="2:16" ht="16" x14ac:dyDescent="0.2">
      <c r="B274" s="5" t="s">
        <v>1190</v>
      </c>
      <c r="C274" s="8"/>
      <c r="D274" s="8"/>
      <c r="E274" s="81"/>
      <c r="F274" s="81"/>
      <c r="G274" s="104"/>
      <c r="H274" s="104"/>
      <c r="I274" s="104"/>
      <c r="J274" s="104"/>
      <c r="K274" s="104"/>
      <c r="L274" s="104"/>
      <c r="M274" s="104"/>
      <c r="N274" s="44"/>
      <c r="O274" s="44"/>
      <c r="P274" s="44"/>
    </row>
    <row r="275" spans="2:16" ht="14" x14ac:dyDescent="0.15">
      <c r="B275" s="507" t="s">
        <v>1191</v>
      </c>
      <c r="E275" s="104"/>
      <c r="F275" s="116"/>
      <c r="G275" s="10"/>
      <c r="H275" s="10"/>
      <c r="I275" s="10"/>
      <c r="J275" s="10"/>
      <c r="K275" s="10"/>
      <c r="L275" s="10"/>
      <c r="M275" s="10"/>
      <c r="N275" s="44"/>
      <c r="O275" s="44"/>
      <c r="P275" s="44"/>
    </row>
    <row r="276" spans="2:16" x14ac:dyDescent="0.15">
      <c r="C276" s="8" t="s">
        <v>1180</v>
      </c>
      <c r="E276" s="104"/>
      <c r="F276" s="116"/>
      <c r="G276" s="117">
        <f ca="1">(G16+G17)/('Cost Input'!$F$348+'Cost Input'!$F$349)</f>
        <v>0.8082855622557964</v>
      </c>
      <c r="H276" s="117">
        <f ca="1">(H16+H17)/('Cost Input'!$F$348+'Cost Input'!$F$349)</f>
        <v>0.8082855622557964</v>
      </c>
      <c r="I276" s="117">
        <f ca="1">(I16+I17)/('Cost Input'!$F$348+'Cost Input'!$F$349)</f>
        <v>0.8082855622557964</v>
      </c>
      <c r="J276" s="117">
        <f ca="1">(J16+J17)/('Cost Input'!$F$348+'Cost Input'!$F$349)</f>
        <v>0.8082855622557964</v>
      </c>
      <c r="K276" s="117">
        <f ca="1">(K16+K17)/('Cost Input'!$F$348+'Cost Input'!$F$349)</f>
        <v>0.8082855622557964</v>
      </c>
      <c r="L276" s="117">
        <f ca="1">(L16+L17)/('Cost Input'!$F$348+'Cost Input'!$F$349)</f>
        <v>0.8082855622557964</v>
      </c>
      <c r="M276" s="117">
        <f ca="1">(M16+M17)/('Cost Input'!$F$348+'Cost Input'!$F$349)</f>
        <v>0.8082855622557964</v>
      </c>
      <c r="N276" s="44"/>
      <c r="O276" s="44"/>
      <c r="P276" s="44"/>
    </row>
    <row r="277" spans="2:16" x14ac:dyDescent="0.15">
      <c r="C277" s="8" t="s">
        <v>1173</v>
      </c>
      <c r="D277" s="476"/>
      <c r="E277" s="104">
        <f>'Cost Input'!F209</f>
        <v>260000</v>
      </c>
      <c r="F277" s="1047">
        <f>'Cost Input'!G209</f>
        <v>0.7</v>
      </c>
      <c r="G277" s="104">
        <f t="shared" ref="G277:M277" ca="1" si="55">$E277*(IF($D277 = "x", 1/G$476, 1)*G276)^$F277</f>
        <v>224010.67926971326</v>
      </c>
      <c r="H277" s="104">
        <f t="shared" ca="1" si="55"/>
        <v>224010.67926971326</v>
      </c>
      <c r="I277" s="104">
        <f t="shared" ca="1" si="55"/>
        <v>224010.67926971326</v>
      </c>
      <c r="J277" s="104">
        <f t="shared" ca="1" si="55"/>
        <v>224010.67926971326</v>
      </c>
      <c r="K277" s="104">
        <f t="shared" ca="1" si="55"/>
        <v>224010.67926971326</v>
      </c>
      <c r="L277" s="104">
        <f t="shared" ca="1" si="55"/>
        <v>224010.67926971326</v>
      </c>
      <c r="M277" s="104">
        <f t="shared" ca="1" si="55"/>
        <v>224010.67926971326</v>
      </c>
      <c r="N277" s="44"/>
      <c r="O277" s="44"/>
      <c r="P277" s="44"/>
    </row>
    <row r="278" spans="2:16" x14ac:dyDescent="0.15">
      <c r="C278" s="8" t="s">
        <v>1174</v>
      </c>
      <c r="D278" s="693" t="str">
        <f>IF($E$474&gt;2, "x", "")</f>
        <v/>
      </c>
      <c r="E278" s="104">
        <f>'Cost Input'!F210</f>
        <v>67.899999999999991</v>
      </c>
      <c r="F278" s="1047">
        <f>'Cost Input'!G210</f>
        <v>0.9</v>
      </c>
      <c r="G278" s="116" cm="1">
        <f t="array" aca="1" ref="G278" ca="1">$E278*(IF($D278 = "x", 1/G$476, 1)*G276)^$F278*_p_days</f>
        <v>56.063229765091535</v>
      </c>
      <c r="H278" s="116" cm="1">
        <f t="array" aca="1" ref="H278" ca="1">$E278*(IF($D278 = "x", 1/H$476, 1)*H276)^$F278*_p_days</f>
        <v>56.063229765091535</v>
      </c>
      <c r="I278" s="116" cm="1">
        <f t="array" aca="1" ref="I278" ca="1">$E278*(IF($D278 = "x", 1/I$476, 1)*I276)^$F278*_p_days</f>
        <v>56.063229765091535</v>
      </c>
      <c r="J278" s="116" cm="1">
        <f t="array" aca="1" ref="J278" ca="1">$E278*(IF($D278 = "x", 1/J$476, 1)*J276)^$F278*_p_days</f>
        <v>56.063229765091535</v>
      </c>
      <c r="K278" s="116" cm="1">
        <f t="array" aca="1" ref="K278" ca="1">$E278*(IF($D278 = "x", 1/K$476, 1)*K276)^$F278*_p_days</f>
        <v>56.063229765091535</v>
      </c>
      <c r="L278" s="116" cm="1">
        <f t="array" aca="1" ref="L278" ca="1">$E278*(IF($D278 = "x", 1/L$476, 1)*L276)^$F278*_p_days</f>
        <v>56.063229765091535</v>
      </c>
      <c r="M278" s="116" cm="1">
        <f t="array" aca="1" ref="M278" ca="1">$E278*(IF($D278 = "x", 1/M$476, 1)*M276)^$F278*_p_days</f>
        <v>56.063229765091535</v>
      </c>
      <c r="N278" s="44"/>
      <c r="O278" s="44"/>
      <c r="P278" s="44"/>
    </row>
    <row r="279" spans="2:16" ht="14" x14ac:dyDescent="0.2">
      <c r="C279" s="8" t="s">
        <v>1175</v>
      </c>
      <c r="D279" s="693" t="str">
        <f>IF($E$474&gt;1, "x", "")</f>
        <v/>
      </c>
      <c r="E279" s="104">
        <f>'Cost Input'!F211</f>
        <v>7700</v>
      </c>
      <c r="F279" s="1047">
        <f>'Cost Input'!G211</f>
        <v>0.95</v>
      </c>
      <c r="G279" s="104" cm="1">
        <f t="array" aca="1" ref="G279" ca="1">$E279*(IF($D279 = "x", 1/G$476, 1)*G276)^$F279*_p_days</f>
        <v>6290.3861366810215</v>
      </c>
      <c r="H279" s="104" cm="1">
        <f t="array" aca="1" ref="H279" ca="1">$E279*(IF($D279 = "x", 1/H$476, 1)*H276)^$F279*_p_days</f>
        <v>6290.3861366810215</v>
      </c>
      <c r="I279" s="104" cm="1">
        <f t="array" aca="1" ref="I279" ca="1">$E279*(IF($D279 = "x", 1/I$476, 1)*I276)^$F279*_p_days</f>
        <v>6290.3861366810215</v>
      </c>
      <c r="J279" s="104" cm="1">
        <f t="array" aca="1" ref="J279" ca="1">$E279*(IF($D279 = "x", 1/J$476, 1)*J276)^$F279*_p_days</f>
        <v>6290.3861366810215</v>
      </c>
      <c r="K279" s="104" cm="1">
        <f t="array" aca="1" ref="K279" ca="1">$E279*(IF($D279 = "x", 1/K$476, 1)*K276)^$F279*_p_days</f>
        <v>6290.3861366810215</v>
      </c>
      <c r="L279" s="104" cm="1">
        <f t="array" aca="1" ref="L279" ca="1">$E279*(IF($D279 = "x", 1/L$476, 1)*L276)^$F279*_p_days</f>
        <v>6290.3861366810215</v>
      </c>
      <c r="M279" s="104" cm="1">
        <f t="array" aca="1" ref="M279" ca="1">$E279*(IF($D279 = "x", 1/M$476, 1)*M276)^$F279*_p_days</f>
        <v>6290.3861366810215</v>
      </c>
      <c r="N279" s="44"/>
      <c r="O279" s="44"/>
      <c r="P279" s="44"/>
    </row>
    <row r="280" spans="2:16" x14ac:dyDescent="0.15">
      <c r="C280" s="8" t="s">
        <v>1184</v>
      </c>
      <c r="D280" s="693"/>
      <c r="E280" s="104">
        <f>'Cost Input'!F212</f>
        <v>1700</v>
      </c>
      <c r="F280" s="1047">
        <f>'Cost Input'!G212</f>
        <v>0.95</v>
      </c>
      <c r="G280" s="104" cm="1">
        <f t="array" aca="1" ref="G280" ca="1">$E280*(IF($D280 = "x", 1/G$476, 1)*G276)^$F280*_p_days</f>
        <v>1388.786549656849</v>
      </c>
      <c r="H280" s="104" cm="1">
        <f t="array" aca="1" ref="H280" ca="1">$E280*(IF($D280 = "x", 1/H$476, 1)*H276)^$F280*_p_days</f>
        <v>1388.786549656849</v>
      </c>
      <c r="I280" s="104" cm="1">
        <f t="array" aca="1" ref="I280" ca="1">$E280*(IF($D280 = "x", 1/I$476, 1)*I276)^$F280*_p_days</f>
        <v>1388.786549656849</v>
      </c>
      <c r="J280" s="104" cm="1">
        <f t="array" aca="1" ref="J280" ca="1">$E280*(IF($D280 = "x", 1/J$476, 1)*J276)^$F280*_p_days</f>
        <v>1388.786549656849</v>
      </c>
      <c r="K280" s="104" cm="1">
        <f t="array" aca="1" ref="K280" ca="1">$E280*(IF($D280 = "x", 1/K$476, 1)*K276)^$F280*_p_days</f>
        <v>1388.786549656849</v>
      </c>
      <c r="L280" s="104" cm="1">
        <f t="array" aca="1" ref="L280" ca="1">$E280*(IF($D280 = "x", 1/L$476, 1)*L276)^$F280*_p_days</f>
        <v>1388.786549656849</v>
      </c>
      <c r="M280" s="104" cm="1">
        <f t="array" aca="1" ref="M280" ca="1">$E280*(IF($D280 = "x", 1/M$476, 1)*M276)^$F280*_p_days</f>
        <v>1388.786549656849</v>
      </c>
      <c r="N280" s="44"/>
      <c r="O280" s="44"/>
      <c r="P280" s="44"/>
    </row>
    <row r="281" spans="2:16" x14ac:dyDescent="0.15">
      <c r="C281" s="8"/>
      <c r="D281" s="46"/>
      <c r="E281" s="104"/>
      <c r="F281" s="1047"/>
      <c r="G281" s="104"/>
      <c r="H281" s="104"/>
      <c r="I281" s="104"/>
      <c r="J281" s="104"/>
      <c r="K281" s="104"/>
      <c r="L281" s="104"/>
      <c r="M281" s="104"/>
      <c r="N281" s="44"/>
      <c r="O281" s="44"/>
      <c r="P281" s="44"/>
    </row>
    <row r="282" spans="2:16" ht="14" x14ac:dyDescent="0.15">
      <c r="B282" s="507" t="s">
        <v>1192</v>
      </c>
      <c r="C282" s="8"/>
      <c r="D282" s="8"/>
      <c r="E282" s="104"/>
      <c r="F282" s="1047"/>
      <c r="G282" s="10"/>
      <c r="H282" s="10"/>
      <c r="I282" s="10"/>
      <c r="J282" s="10"/>
      <c r="K282" s="10"/>
      <c r="L282" s="10"/>
      <c r="M282" s="10"/>
      <c r="N282" s="44"/>
      <c r="O282" s="44"/>
      <c r="P282" s="44"/>
    </row>
    <row r="283" spans="2:16" x14ac:dyDescent="0.15">
      <c r="C283" s="8" t="s">
        <v>1193</v>
      </c>
      <c r="D283" s="8"/>
      <c r="E283" s="104"/>
      <c r="F283" s="1047"/>
      <c r="G283" s="117">
        <f>G15/'Cost Input'!$F347</f>
        <v>0.99775505113494622</v>
      </c>
      <c r="H283" s="117">
        <f>H15/'Cost Input'!$F347</f>
        <v>0.99775505113494622</v>
      </c>
      <c r="I283" s="117">
        <f>I15/'Cost Input'!$F347</f>
        <v>0.99775505113494622</v>
      </c>
      <c r="J283" s="117">
        <f>J15/'Cost Input'!$F347</f>
        <v>0.99775505113494622</v>
      </c>
      <c r="K283" s="117">
        <f>K15/'Cost Input'!$F347</f>
        <v>0.99775505113494622</v>
      </c>
      <c r="L283" s="117">
        <f>L15/'Cost Input'!$F347</f>
        <v>0.99775505113494622</v>
      </c>
      <c r="M283" s="117">
        <f>M15/'Cost Input'!$F347</f>
        <v>0.99775505113494622</v>
      </c>
      <c r="N283" s="44"/>
      <c r="O283" s="44"/>
      <c r="P283" s="44"/>
    </row>
    <row r="284" spans="2:16" x14ac:dyDescent="0.15">
      <c r="C284" s="8" t="s">
        <v>1194</v>
      </c>
      <c r="D284" s="8"/>
      <c r="E284" s="116">
        <f>'Cost Input'!F216</f>
        <v>68</v>
      </c>
      <c r="F284" s="105">
        <f>'Cost Input'!G216</f>
        <v>0.95</v>
      </c>
      <c r="G284" s="105">
        <f ca="1">'Battery Design'!G35</f>
        <v>67.939713246199872</v>
      </c>
      <c r="H284" s="105">
        <f ca="1">'Battery Design'!H35</f>
        <v>67.939713246199872</v>
      </c>
      <c r="I284" s="105">
        <f ca="1">'Battery Design'!I35</f>
        <v>67.939713246199872</v>
      </c>
      <c r="J284" s="105">
        <f ca="1">'Battery Design'!J35</f>
        <v>67.939713246199872</v>
      </c>
      <c r="K284" s="105">
        <f ca="1">'Battery Design'!K35</f>
        <v>67.939713246199872</v>
      </c>
      <c r="L284" s="105">
        <f ca="1">'Battery Design'!L35</f>
        <v>67.939713246199872</v>
      </c>
      <c r="M284" s="105">
        <f ca="1">'Battery Design'!M35</f>
        <v>67.939713246199872</v>
      </c>
      <c r="N284" s="44"/>
      <c r="O284" s="44"/>
      <c r="P284" s="44"/>
    </row>
    <row r="285" spans="2:16" x14ac:dyDescent="0.15">
      <c r="C285" s="8" t="s">
        <v>1173</v>
      </c>
      <c r="D285" s="476"/>
      <c r="E285" s="104">
        <f>'Cost Input'!F217</f>
        <v>700000</v>
      </c>
      <c r="F285" s="1047">
        <f>'Cost Input'!G217</f>
        <v>0.9</v>
      </c>
      <c r="G285" s="104">
        <f t="shared" ref="G285:N285" ca="1" si="56">$E285*(IF($D285 = "x", 1/G$476, 1)*(G284/$E284))^$F284*(G283)^$F285</f>
        <v>697997.13262709265</v>
      </c>
      <c r="H285" s="104">
        <f t="shared" ca="1" si="56"/>
        <v>697997.13262709265</v>
      </c>
      <c r="I285" s="104">
        <f t="shared" ca="1" si="56"/>
        <v>697997.13262709265</v>
      </c>
      <c r="J285" s="104">
        <f t="shared" ca="1" si="56"/>
        <v>697997.13262709265</v>
      </c>
      <c r="K285" s="104">
        <f t="shared" ca="1" si="56"/>
        <v>697997.13262709265</v>
      </c>
      <c r="L285" s="104">
        <f t="shared" ca="1" si="56"/>
        <v>697997.13262709265</v>
      </c>
      <c r="M285" s="104">
        <f t="shared" ca="1" si="56"/>
        <v>697997.13262709265</v>
      </c>
      <c r="N285" s="104">
        <f t="shared" si="56"/>
        <v>0</v>
      </c>
      <c r="O285" s="44"/>
      <c r="P285" s="44"/>
    </row>
    <row r="286" spans="2:16" x14ac:dyDescent="0.15">
      <c r="C286" s="8" t="s">
        <v>1174</v>
      </c>
      <c r="D286" s="693" t="str">
        <f>IF($E$474&gt;2, "x", "")</f>
        <v/>
      </c>
      <c r="E286" s="116">
        <f>'Cost Input'!F218</f>
        <v>164.9</v>
      </c>
      <c r="F286" s="1047">
        <f>'Cost Input'!G218</f>
        <v>0.9</v>
      </c>
      <c r="G286" s="116" cm="1">
        <f t="array" aca="1" ref="G286" ca="1">$E286*(IF($D286="x",1/G$476,1)*(G284/$E284))^$F284*_p_days*(G283^$F286)</f>
        <v>164.42818167172513</v>
      </c>
      <c r="H286" s="116" cm="1">
        <f t="array" aca="1" ref="H286" ca="1">$E286*(IF($D286="x",1/H$476,1)*(H284/$E284))^$F284*_p_days*(H283^$F286)</f>
        <v>164.42818167172513</v>
      </c>
      <c r="I286" s="116" cm="1">
        <f t="array" aca="1" ref="I286" ca="1">$E286*(IF($D286="x",1/I$476,1)*(I284/$E284))^$F284*_p_days*(I283^$F286)</f>
        <v>164.42818167172513</v>
      </c>
      <c r="J286" s="116" cm="1">
        <f t="array" aca="1" ref="J286" ca="1">$E286*(IF($D286="x",1/J$476,1)*(J284/$E284))^$F284*_p_days*(J283^$F286)</f>
        <v>164.42818167172513</v>
      </c>
      <c r="K286" s="116" cm="1">
        <f t="array" aca="1" ref="K286" ca="1">$E286*(IF($D286="x",1/K$476,1)*(K284/$E284))^$F284*_p_days*(K283^$F286)</f>
        <v>164.42818167172513</v>
      </c>
      <c r="L286" s="116" cm="1">
        <f t="array" aca="1" ref="L286" ca="1">$E286*(IF($D286="x",1/L$476,1)*(L284/$E284))^$F284*_p_days*(L283^$F286)</f>
        <v>164.42818167172513</v>
      </c>
      <c r="M286" s="116" cm="1">
        <f t="array" aca="1" ref="M286" ca="1">$E286*(IF($D286="x",1/M$476,1)*(M284/$E284))^$F284*_p_days*(M283^$F286)</f>
        <v>164.42818167172513</v>
      </c>
      <c r="N286" s="116" cm="1">
        <f t="array" ref="N286">$E286*(IF($D286="x",1/N$476,1)*(N284/$E284))^$F284*_p_days*(N283^$F286)</f>
        <v>0</v>
      </c>
      <c r="O286" s="44"/>
      <c r="P286" s="44"/>
    </row>
    <row r="287" spans="2:16" ht="14" x14ac:dyDescent="0.2">
      <c r="C287" s="8" t="s">
        <v>1175</v>
      </c>
      <c r="D287" s="693" t="str">
        <f>IF($E$474&gt;1, "x", "")</f>
        <v/>
      </c>
      <c r="E287" s="116">
        <f>'Cost Input'!F219</f>
        <v>15000</v>
      </c>
      <c r="F287" s="1047">
        <f>'Cost Input'!G219</f>
        <v>0.95</v>
      </c>
      <c r="G287" s="104" cm="1">
        <f t="array" aca="1" ref="G287" ca="1">$E287*(IF($D287 = "x", 1/G$476, 1)*(G284/$E284))^$F284*_p_days*(G283^$F287)</f>
        <v>14955.400726383798</v>
      </c>
      <c r="H287" s="104" cm="1">
        <f t="array" aca="1" ref="H287" ca="1">$E287*(IF($D287 = "x", 1/H$476, 1)*(H284/$E284))^$F284*_p_days*(H283^$F287)</f>
        <v>14955.400726383798</v>
      </c>
      <c r="I287" s="104" cm="1">
        <f t="array" aca="1" ref="I287" ca="1">$E287*(IF($D287 = "x", 1/I$476, 1)*(I284/$E284))^$F284*_p_days*(I283^$F287)</f>
        <v>14955.400726383798</v>
      </c>
      <c r="J287" s="104" cm="1">
        <f t="array" aca="1" ref="J287" ca="1">$E287*(IF($D287 = "x", 1/J$476, 1)*(J284/$E284))^$F284*_p_days*(J283^$F287)</f>
        <v>14955.400726383798</v>
      </c>
      <c r="K287" s="104" cm="1">
        <f t="array" aca="1" ref="K287" ca="1">$E287*(IF($D287 = "x", 1/K$476, 1)*(K284/$E284))^$F284*_p_days*(K283^$F287)</f>
        <v>14955.400726383798</v>
      </c>
      <c r="L287" s="104" cm="1">
        <f t="array" aca="1" ref="L287" ca="1">$E287*(IF($D287 = "x", 1/L$476, 1)*(L284/$E284))^$F284*_p_days*(L283^$F287)</f>
        <v>14955.400726383798</v>
      </c>
      <c r="M287" s="104" cm="1">
        <f t="array" aca="1" ref="M287" ca="1">$E287*(IF($D287 = "x", 1/M$476, 1)*(M284/$E284))^$F284*_p_days*(M283^$F287)</f>
        <v>14955.400726383798</v>
      </c>
      <c r="N287" s="44"/>
      <c r="O287" s="44"/>
      <c r="P287" s="44"/>
    </row>
    <row r="288" spans="2:16" x14ac:dyDescent="0.15">
      <c r="C288" s="8" t="s">
        <v>1184</v>
      </c>
      <c r="D288" s="693"/>
      <c r="E288" s="116">
        <f>'Cost Input'!F220</f>
        <v>4800</v>
      </c>
      <c r="F288" s="1047">
        <f>'Cost Input'!G220</f>
        <v>0.95</v>
      </c>
      <c r="G288" s="104" cm="1">
        <f t="array" ref="G288">$E288*(IF($D288 = "x", 1/G$476, 1)*G283)^$F288*_p_days</f>
        <v>4789.7624581867258</v>
      </c>
      <c r="H288" s="104" cm="1">
        <f t="array" ref="H288">$E288*(IF($D288 = "x", 1/H$476, 1)*H283)^$F288*_p_days</f>
        <v>4789.7624581867258</v>
      </c>
      <c r="I288" s="104" cm="1">
        <f t="array" ref="I288">$E288*(IF($D288 = "x", 1/I$476, 1)*I283)^$F288*_p_days</f>
        <v>4789.7624581867258</v>
      </c>
      <c r="J288" s="104" cm="1">
        <f t="array" ref="J288">$E288*(IF($D288 = "x", 1/J$476, 1)*J283)^$F288*_p_days</f>
        <v>4789.7624581867258</v>
      </c>
      <c r="K288" s="104" cm="1">
        <f t="array" ref="K288">$E288*(IF($D288 = "x", 1/K$476, 1)*K283)^$F288*_p_days</f>
        <v>4789.7624581867258</v>
      </c>
      <c r="L288" s="104" cm="1">
        <f t="array" ref="L288">$E288*(IF($D288 = "x", 1/L$476, 1)*L283)^$F288*_p_days</f>
        <v>4789.7624581867258</v>
      </c>
      <c r="M288" s="104" cm="1">
        <f t="array" ref="M288">$E288*(IF($D288 = "x", 1/M$476, 1)*M283)^$F288*_p_days</f>
        <v>4789.7624581867258</v>
      </c>
      <c r="N288" s="44"/>
      <c r="O288" s="44"/>
      <c r="P288" s="44"/>
    </row>
    <row r="289" spans="2:16" x14ac:dyDescent="0.15">
      <c r="C289" s="8"/>
      <c r="D289" s="46"/>
      <c r="E289" s="104"/>
      <c r="F289" s="1025"/>
      <c r="G289" s="104"/>
      <c r="H289" s="104"/>
      <c r="I289" s="104"/>
      <c r="J289" s="104"/>
      <c r="K289" s="104"/>
      <c r="L289" s="104"/>
      <c r="M289" s="104"/>
      <c r="N289" s="44"/>
      <c r="O289" s="44"/>
      <c r="P289" s="44"/>
    </row>
    <row r="290" spans="2:16" ht="14" x14ac:dyDescent="0.15">
      <c r="B290" s="507" t="s">
        <v>1195</v>
      </c>
      <c r="C290" s="8"/>
      <c r="D290" s="8"/>
      <c r="E290" s="104"/>
      <c r="F290" s="1025"/>
      <c r="G290" s="10"/>
      <c r="H290" s="10"/>
      <c r="I290" s="10"/>
      <c r="J290" s="10"/>
      <c r="K290" s="10"/>
      <c r="L290" s="10"/>
      <c r="M290" s="10"/>
      <c r="N290" s="44"/>
      <c r="O290" s="44"/>
      <c r="P290" s="44"/>
    </row>
    <row r="291" spans="2:16" x14ac:dyDescent="0.15">
      <c r="C291" s="8" t="s">
        <v>1193</v>
      </c>
      <c r="D291" s="8"/>
      <c r="E291" s="104"/>
      <c r="F291" s="1025"/>
      <c r="G291" s="117">
        <f>G15/'Cost Input'!$F347</f>
        <v>0.99775505113494622</v>
      </c>
      <c r="H291" s="117">
        <f>H15/'Cost Input'!$F347</f>
        <v>0.99775505113494622</v>
      </c>
      <c r="I291" s="117">
        <f>I15/'Cost Input'!$F347</f>
        <v>0.99775505113494622</v>
      </c>
      <c r="J291" s="117">
        <f>J15/'Cost Input'!$F347</f>
        <v>0.99775505113494622</v>
      </c>
      <c r="K291" s="117">
        <f>K15/'Cost Input'!$F347</f>
        <v>0.99775505113494622</v>
      </c>
      <c r="L291" s="117">
        <f>L15/'Cost Input'!$F347</f>
        <v>0.99775505113494622</v>
      </c>
      <c r="M291" s="117">
        <f>M15/'Cost Input'!$F347</f>
        <v>0.99775505113494622</v>
      </c>
      <c r="N291" s="44"/>
      <c r="O291" s="44"/>
      <c r="P291" s="44"/>
    </row>
    <row r="292" spans="2:16" x14ac:dyDescent="0.15">
      <c r="C292" s="8" t="s">
        <v>1173</v>
      </c>
      <c r="D292" s="476"/>
      <c r="E292" s="104">
        <f>'Cost Input'!F224</f>
        <v>180000</v>
      </c>
      <c r="F292" s="1051">
        <f>'Cost Input'!G224</f>
        <v>0.9</v>
      </c>
      <c r="G292" s="104">
        <f t="shared" ref="G292:M292" si="57">$E292*(IF($D292 = "x", 1/G$476, 1)*G291)^$F292</f>
        <v>179636.27742787602</v>
      </c>
      <c r="H292" s="104">
        <f t="shared" si="57"/>
        <v>179636.27742787602</v>
      </c>
      <c r="I292" s="104">
        <f t="shared" si="57"/>
        <v>179636.27742787602</v>
      </c>
      <c r="J292" s="104">
        <f t="shared" si="57"/>
        <v>179636.27742787602</v>
      </c>
      <c r="K292" s="104">
        <f t="shared" si="57"/>
        <v>179636.27742787602</v>
      </c>
      <c r="L292" s="104">
        <f t="shared" si="57"/>
        <v>179636.27742787602</v>
      </c>
      <c r="M292" s="104">
        <f t="shared" si="57"/>
        <v>179636.27742787602</v>
      </c>
      <c r="N292" s="44"/>
      <c r="O292" s="44"/>
      <c r="P292" s="44"/>
    </row>
    <row r="293" spans="2:16" x14ac:dyDescent="0.15">
      <c r="C293" s="8" t="s">
        <v>1174</v>
      </c>
      <c r="D293" s="693" t="str">
        <f>IF($E$474&gt;2, "x", "")</f>
        <v/>
      </c>
      <c r="E293" s="104">
        <f>'Cost Input'!F225</f>
        <v>179.54999999999998</v>
      </c>
      <c r="F293" s="1051">
        <f>'Cost Input'!G225</f>
        <v>0.9</v>
      </c>
      <c r="G293" s="116" cm="1">
        <f t="array" ref="G293">$E293*(IF($D293 = "x", 1/G$476, 1)*G291)^$F293*_p_days</f>
        <v>179.18718673430629</v>
      </c>
      <c r="H293" s="116" cm="1">
        <f t="array" ref="H293">$E293*(IF($D293 = "x", 1/H$476, 1)*H291)^$F293*_p_days</f>
        <v>179.18718673430629</v>
      </c>
      <c r="I293" s="116" cm="1">
        <f t="array" ref="I293">$E293*(IF($D293 = "x", 1/I$476, 1)*I291)^$F293*_p_days</f>
        <v>179.18718673430629</v>
      </c>
      <c r="J293" s="116" cm="1">
        <f t="array" ref="J293">$E293*(IF($D293 = "x", 1/J$476, 1)*J291)^$F293*_p_days</f>
        <v>179.18718673430629</v>
      </c>
      <c r="K293" s="116" cm="1">
        <f t="array" ref="K293">$E293*(IF($D293 = "x", 1/K$476, 1)*K291)^$F293*_p_days</f>
        <v>179.18718673430629</v>
      </c>
      <c r="L293" s="116" cm="1">
        <f t="array" ref="L293">$E293*(IF($D293 = "x", 1/L$476, 1)*L291)^$F293*_p_days</f>
        <v>179.18718673430629</v>
      </c>
      <c r="M293" s="116" cm="1">
        <f t="array" ref="M293">$E293*(IF($D293 = "x", 1/M$476, 1)*M291)^$F293*_p_days</f>
        <v>179.18718673430629</v>
      </c>
      <c r="N293" s="44"/>
      <c r="O293" s="44"/>
      <c r="P293" s="44"/>
    </row>
    <row r="294" spans="2:16" x14ac:dyDescent="0.15">
      <c r="C294" s="8" t="s">
        <v>1196</v>
      </c>
      <c r="D294" s="693" t="str">
        <f>IF($E$474&gt;1, "x", "")</f>
        <v/>
      </c>
      <c r="E294" s="104">
        <f>'Cost Input'!F226</f>
        <v>3700</v>
      </c>
      <c r="F294" s="1051">
        <f>'Cost Input'!G226</f>
        <v>0.95</v>
      </c>
      <c r="G294" s="104" cm="1">
        <f t="array" ref="G294">$E294*(IF($D294 = "x", 1/G$476, 1)*G291)^$F294*_p_days</f>
        <v>3692.1085615189349</v>
      </c>
      <c r="H294" s="104" cm="1">
        <f t="array" ref="H294">$E294*(IF($D294 = "x", 1/H$476, 1)*H291)^$F294*_p_days</f>
        <v>3692.1085615189349</v>
      </c>
      <c r="I294" s="104" cm="1">
        <f t="array" ref="I294">$E294*(IF($D294 = "x", 1/I$476, 1)*I291)^$F294*_p_days</f>
        <v>3692.1085615189349</v>
      </c>
      <c r="J294" s="104" cm="1">
        <f t="array" ref="J294">$E294*(IF($D294 = "x", 1/J$476, 1)*J291)^$F294*_p_days</f>
        <v>3692.1085615189349</v>
      </c>
      <c r="K294" s="104" cm="1">
        <f t="array" ref="K294">$E294*(IF($D294 = "x", 1/K$476, 1)*K291)^$F294*_p_days</f>
        <v>3692.1085615189349</v>
      </c>
      <c r="L294" s="104" cm="1">
        <f t="array" ref="L294">$E294*(IF($D294 = "x", 1/L$476, 1)*L291)^$F294*_p_days</f>
        <v>3692.1085615189349</v>
      </c>
      <c r="M294" s="104" cm="1">
        <f t="array" ref="M294">$E294*(IF($D294 = "x", 1/M$476, 1)*M291)^$F294*_p_days</f>
        <v>3692.1085615189349</v>
      </c>
      <c r="N294" s="44"/>
      <c r="O294" s="44"/>
      <c r="P294" s="44"/>
    </row>
    <row r="295" spans="2:16" x14ac:dyDescent="0.15">
      <c r="C295" s="8" t="s">
        <v>1184</v>
      </c>
      <c r="D295" s="693"/>
      <c r="E295" s="104">
        <f>'Cost Input'!F227</f>
        <v>1800</v>
      </c>
      <c r="F295" s="1051">
        <f>'Cost Input'!G227</f>
        <v>0.95</v>
      </c>
      <c r="G295" s="104" cm="1">
        <f t="array" ref="G295">$E295*(IF($D295 = "x", 1/G$476, 1)*G291)^$F295*_p_days</f>
        <v>1796.1609218200224</v>
      </c>
      <c r="H295" s="104" cm="1">
        <f t="array" ref="H295">$E295*(IF($D295 = "x", 1/H$476, 1)*H291)^$F295*_p_days</f>
        <v>1796.1609218200224</v>
      </c>
      <c r="I295" s="104" cm="1">
        <f t="array" ref="I295">$E295*(IF($D295 = "x", 1/I$476, 1)*I291)^$F295*_p_days</f>
        <v>1796.1609218200224</v>
      </c>
      <c r="J295" s="104" cm="1">
        <f t="array" ref="J295">$E295*(IF($D295 = "x", 1/J$476, 1)*J291)^$F295*_p_days</f>
        <v>1796.1609218200224</v>
      </c>
      <c r="K295" s="104" cm="1">
        <f t="array" ref="K295">$E295*(IF($D295 = "x", 1/K$476, 1)*K291)^$F295*_p_days</f>
        <v>1796.1609218200224</v>
      </c>
      <c r="L295" s="104" cm="1">
        <f t="array" ref="L295">$E295*(IF($D295 = "x", 1/L$476, 1)*L291)^$F295*_p_days</f>
        <v>1796.1609218200224</v>
      </c>
      <c r="M295" s="104" cm="1">
        <f t="array" ref="M295">$E295*(IF($D295 = "x", 1/M$476, 1)*M291)^$F295*_p_days</f>
        <v>1796.1609218200224</v>
      </c>
      <c r="N295" s="44"/>
      <c r="O295" s="44"/>
      <c r="P295" s="44"/>
    </row>
    <row r="296" spans="2:16" x14ac:dyDescent="0.15">
      <c r="C296" s="8"/>
      <c r="E296" s="104"/>
      <c r="F296" s="1051"/>
      <c r="G296" s="104"/>
      <c r="H296" s="104"/>
      <c r="I296" s="104"/>
      <c r="J296" s="104"/>
      <c r="K296" s="104"/>
      <c r="L296" s="104"/>
      <c r="M296" s="104"/>
      <c r="N296" s="44"/>
      <c r="O296" s="44"/>
      <c r="P296" s="44"/>
    </row>
    <row r="297" spans="2:16" ht="14" x14ac:dyDescent="0.15">
      <c r="B297" s="507" t="s">
        <v>1197</v>
      </c>
      <c r="E297" s="64"/>
      <c r="F297" s="1052"/>
      <c r="G297" s="28"/>
      <c r="H297" s="28"/>
      <c r="I297" s="28"/>
      <c r="J297" s="28"/>
      <c r="K297" s="28"/>
      <c r="L297" s="28"/>
      <c r="M297" s="28"/>
      <c r="N297" s="44"/>
      <c r="O297" s="44"/>
      <c r="P297" s="44"/>
    </row>
    <row r="298" spans="2:16" x14ac:dyDescent="0.15">
      <c r="C298" s="8" t="s">
        <v>1193</v>
      </c>
      <c r="E298" s="64"/>
      <c r="F298" s="1052"/>
      <c r="G298" s="811">
        <f>G15/'Cost Input'!$F347</f>
        <v>0.99775505113494622</v>
      </c>
      <c r="H298" s="811">
        <f>H15/'Cost Input'!$F347</f>
        <v>0.99775505113494622</v>
      </c>
      <c r="I298" s="811">
        <f>I15/'Cost Input'!$F347</f>
        <v>0.99775505113494622</v>
      </c>
      <c r="J298" s="811">
        <f>J15/'Cost Input'!$F347</f>
        <v>0.99775505113494622</v>
      </c>
      <c r="K298" s="811">
        <f>K15/'Cost Input'!$F347</f>
        <v>0.99775505113494622</v>
      </c>
      <c r="L298" s="811">
        <f>L15/'Cost Input'!$F347</f>
        <v>0.99775505113494622</v>
      </c>
      <c r="M298" s="811">
        <f>M15/'Cost Input'!$F347</f>
        <v>0.99775505113494622</v>
      </c>
      <c r="N298" s="44"/>
      <c r="O298" s="44"/>
      <c r="P298" s="44"/>
    </row>
    <row r="299" spans="2:16" x14ac:dyDescent="0.15">
      <c r="C299" t="s">
        <v>1173</v>
      </c>
      <c r="D299" s="476"/>
      <c r="E299" s="64">
        <f>'Cost Input'!F231</f>
        <v>180000</v>
      </c>
      <c r="F299" s="1052">
        <f>'Cost Input'!G231</f>
        <v>0.9</v>
      </c>
      <c r="G299" s="64">
        <f t="shared" ref="G299:M299" si="58">$E299*(IF($D299 = "x", 1/G$476, 1)*G298)^$F299</f>
        <v>179636.27742787602</v>
      </c>
      <c r="H299" s="64">
        <f t="shared" si="58"/>
        <v>179636.27742787602</v>
      </c>
      <c r="I299" s="64">
        <f t="shared" si="58"/>
        <v>179636.27742787602</v>
      </c>
      <c r="J299" s="64">
        <f t="shared" si="58"/>
        <v>179636.27742787602</v>
      </c>
      <c r="K299" s="64">
        <f t="shared" si="58"/>
        <v>179636.27742787602</v>
      </c>
      <c r="L299" s="64">
        <f t="shared" si="58"/>
        <v>179636.27742787602</v>
      </c>
      <c r="M299" s="64">
        <f t="shared" si="58"/>
        <v>179636.27742787602</v>
      </c>
      <c r="N299" s="44"/>
      <c r="O299" s="44"/>
      <c r="P299" s="44"/>
    </row>
    <row r="300" spans="2:16" x14ac:dyDescent="0.15">
      <c r="C300" t="s">
        <v>1174</v>
      </c>
      <c r="D300" s="476" t="str">
        <f>IF($E$474&gt;2, "x", "")</f>
        <v/>
      </c>
      <c r="E300" s="64">
        <f>'Cost Input'!F232</f>
        <v>12.950000000000001</v>
      </c>
      <c r="F300" s="1052">
        <f>'Cost Input'!G232</f>
        <v>0.9</v>
      </c>
      <c r="G300" s="812" cm="1">
        <f t="array" ref="G300">$E300*(IF($D300 = "x", 1/G$476, 1)*G298)^$F300*_p_days</f>
        <v>12.923832181616635</v>
      </c>
      <c r="H300" s="812" cm="1">
        <f t="array" ref="H300">$E300*(IF($D300 = "x", 1/H$476, 1)*H298)^$F300*_p_days</f>
        <v>12.923832181616635</v>
      </c>
      <c r="I300" s="812" cm="1">
        <f t="array" ref="I300">$E300*(IF($D300 = "x", 1/I$476, 1)*I298)^$F300*_p_days</f>
        <v>12.923832181616635</v>
      </c>
      <c r="J300" s="812" cm="1">
        <f t="array" ref="J300">$E300*(IF($D300 = "x", 1/J$476, 1)*J298)^$F300*_p_days</f>
        <v>12.923832181616635</v>
      </c>
      <c r="K300" s="812" cm="1">
        <f t="array" ref="K300">$E300*(IF($D300 = "x", 1/K$476, 1)*K298)^$F300*_p_days</f>
        <v>12.923832181616635</v>
      </c>
      <c r="L300" s="812" cm="1">
        <f t="array" ref="L300">$E300*(IF($D300 = "x", 1/L$476, 1)*L298)^$F300*_p_days</f>
        <v>12.923832181616635</v>
      </c>
      <c r="M300" s="812" cm="1">
        <f t="array" ref="M300">$E300*(IF($D300 = "x", 1/M$476, 1)*M298)^$F300*_p_days</f>
        <v>12.923832181616635</v>
      </c>
      <c r="N300" s="44"/>
      <c r="O300" s="44"/>
      <c r="P300" s="44"/>
    </row>
    <row r="301" spans="2:16" ht="14" x14ac:dyDescent="0.2">
      <c r="C301" s="8" t="s">
        <v>1175</v>
      </c>
      <c r="D301" s="476" t="str">
        <f>IF($E$474&gt;1, "x", "")</f>
        <v/>
      </c>
      <c r="E301" s="64">
        <f>'Cost Input'!F233</f>
        <v>4600</v>
      </c>
      <c r="F301" s="1052">
        <f>'Cost Input'!G233</f>
        <v>0.95</v>
      </c>
      <c r="G301" s="64" cm="1">
        <f t="array" ref="G301">$E301*(IF($D301 = "x", 1/G$476, 1)*G298)^$F301*_p_days</f>
        <v>4590.1890224289464</v>
      </c>
      <c r="H301" s="64" cm="1">
        <f t="array" ref="H301">$E301*(IF($D301 = "x", 1/H$476, 1)*H298)^$F301*_p_days</f>
        <v>4590.1890224289464</v>
      </c>
      <c r="I301" s="64" cm="1">
        <f t="array" ref="I301">$E301*(IF($D301 = "x", 1/I$476, 1)*I298)^$F301*_p_days</f>
        <v>4590.1890224289464</v>
      </c>
      <c r="J301" s="64" cm="1">
        <f t="array" ref="J301">$E301*(IF($D301 = "x", 1/J$476, 1)*J298)^$F301*_p_days</f>
        <v>4590.1890224289464</v>
      </c>
      <c r="K301" s="64" cm="1">
        <f t="array" ref="K301">$E301*(IF($D301 = "x", 1/K$476, 1)*K298)^$F301*_p_days</f>
        <v>4590.1890224289464</v>
      </c>
      <c r="L301" s="64" cm="1">
        <f t="array" ref="L301">$E301*(IF($D301 = "x", 1/L$476, 1)*L298)^$F301*_p_days</f>
        <v>4590.1890224289464</v>
      </c>
      <c r="M301" s="64" cm="1">
        <f t="array" ref="M301">$E301*(IF($D301 = "x", 1/M$476, 1)*M298)^$F301*_p_days</f>
        <v>4590.1890224289464</v>
      </c>
      <c r="N301" s="44"/>
      <c r="O301" s="44"/>
      <c r="P301" s="44"/>
    </row>
    <row r="302" spans="2:16" x14ac:dyDescent="0.15">
      <c r="C302" s="8" t="s">
        <v>1184</v>
      </c>
      <c r="D302" s="693"/>
      <c r="E302" s="64">
        <f>'Cost Input'!F234</f>
        <v>400</v>
      </c>
      <c r="F302" s="1052">
        <f>'Cost Input'!G234</f>
        <v>0.95</v>
      </c>
      <c r="G302" s="64" cm="1">
        <f t="array" ref="G302">$E302*(IF($D302 = "x", 1/G$476, 1)*G298)^$F302*_p_days</f>
        <v>399.14687151556052</v>
      </c>
      <c r="H302" s="64" cm="1">
        <f t="array" ref="H302">$E302*(IF($D302 = "x", 1/H$476, 1)*H298)^$F302*_p_days</f>
        <v>399.14687151556052</v>
      </c>
      <c r="I302" s="64" cm="1">
        <f t="array" ref="I302">$E302*(IF($D302 = "x", 1/I$476, 1)*I298)^$F302*_p_days</f>
        <v>399.14687151556052</v>
      </c>
      <c r="J302" s="64" cm="1">
        <f t="array" ref="J302">$E302*(IF($D302 = "x", 1/J$476, 1)*J298)^$F302*_p_days</f>
        <v>399.14687151556052</v>
      </c>
      <c r="K302" s="64" cm="1">
        <f t="array" ref="K302">$E302*(IF($D302 = "x", 1/K$476, 1)*K298)^$F302*_p_days</f>
        <v>399.14687151556052</v>
      </c>
      <c r="L302" s="64" cm="1">
        <f t="array" ref="L302">$E302*(IF($D302 = "x", 1/L$476, 1)*L298)^$F302*_p_days</f>
        <v>399.14687151556052</v>
      </c>
      <c r="M302" s="64" cm="1">
        <f t="array" ref="M302">$E302*(IF($D302 = "x", 1/M$476, 1)*M298)^$F302*_p_days</f>
        <v>399.14687151556052</v>
      </c>
      <c r="N302" s="44"/>
      <c r="O302" s="44"/>
      <c r="P302" s="44"/>
    </row>
    <row r="303" spans="2:16" x14ac:dyDescent="0.15">
      <c r="C303" s="8"/>
      <c r="D303" s="46"/>
      <c r="E303" s="104"/>
      <c r="F303" s="1051"/>
      <c r="G303" s="104"/>
      <c r="H303" s="104"/>
      <c r="I303" s="104"/>
      <c r="J303" s="104"/>
      <c r="K303" s="104"/>
      <c r="L303" s="104"/>
      <c r="M303" s="104"/>
      <c r="N303" s="44"/>
      <c r="O303" s="44"/>
      <c r="P303" s="44"/>
    </row>
    <row r="304" spans="2:16" ht="14" x14ac:dyDescent="0.15">
      <c r="B304" s="507" t="s">
        <v>1198</v>
      </c>
      <c r="C304" s="8"/>
      <c r="D304" s="8"/>
      <c r="E304" s="104"/>
      <c r="F304" s="1051"/>
      <c r="G304" s="10"/>
      <c r="H304" s="10"/>
      <c r="I304" s="10"/>
      <c r="J304" s="10"/>
      <c r="K304" s="10"/>
      <c r="L304" s="10"/>
      <c r="M304" s="10"/>
      <c r="N304" s="44"/>
      <c r="O304" s="44"/>
      <c r="P304" s="44"/>
    </row>
    <row r="305" spans="2:16" x14ac:dyDescent="0.15">
      <c r="C305" s="8" t="s">
        <v>1193</v>
      </c>
      <c r="D305" s="8"/>
      <c r="E305" s="104"/>
      <c r="F305" s="1051"/>
      <c r="G305" s="117">
        <f>G15/'Cost Input'!$F347</f>
        <v>0.99775505113494622</v>
      </c>
      <c r="H305" s="117">
        <f>H15/'Cost Input'!$F347</f>
        <v>0.99775505113494622</v>
      </c>
      <c r="I305" s="117">
        <f>I15/'Cost Input'!$F347</f>
        <v>0.99775505113494622</v>
      </c>
      <c r="J305" s="117">
        <f>J15/'Cost Input'!$F347</f>
        <v>0.99775505113494622</v>
      </c>
      <c r="K305" s="117">
        <f>K15/'Cost Input'!$F347</f>
        <v>0.99775505113494622</v>
      </c>
      <c r="L305" s="117">
        <f>L15/'Cost Input'!$F347</f>
        <v>0.99775505113494622</v>
      </c>
      <c r="M305" s="117">
        <f>M15/'Cost Input'!$F347</f>
        <v>0.99775505113494622</v>
      </c>
      <c r="N305" s="44"/>
      <c r="O305" s="44"/>
      <c r="P305" s="44"/>
    </row>
    <row r="306" spans="2:16" x14ac:dyDescent="0.15">
      <c r="C306" s="8" t="s">
        <v>1173</v>
      </c>
      <c r="D306" s="476"/>
      <c r="E306" s="104">
        <f>'Cost Input'!F238</f>
        <v>49000</v>
      </c>
      <c r="F306" s="1051">
        <f>'Cost Input'!G238</f>
        <v>0.9</v>
      </c>
      <c r="G306" s="104">
        <f t="shared" ref="G306:M306" si="59">$E306*(IF($D306 = "x", 1/G$476, 1)*G305)^$F306</f>
        <v>48900.986633144021</v>
      </c>
      <c r="H306" s="104">
        <f t="shared" si="59"/>
        <v>48900.986633144021</v>
      </c>
      <c r="I306" s="104">
        <f t="shared" si="59"/>
        <v>48900.986633144021</v>
      </c>
      <c r="J306" s="104">
        <f t="shared" si="59"/>
        <v>48900.986633144021</v>
      </c>
      <c r="K306" s="104">
        <f t="shared" si="59"/>
        <v>48900.986633144021</v>
      </c>
      <c r="L306" s="104">
        <f t="shared" si="59"/>
        <v>48900.986633144021</v>
      </c>
      <c r="M306" s="104">
        <f t="shared" si="59"/>
        <v>48900.986633144021</v>
      </c>
      <c r="N306" s="44"/>
      <c r="O306" s="44"/>
      <c r="P306" s="44"/>
    </row>
    <row r="307" spans="2:16" x14ac:dyDescent="0.15">
      <c r="C307" s="8" t="s">
        <v>1174</v>
      </c>
      <c r="D307" s="693" t="str">
        <f>IF($E$474&gt;2, "x", "")</f>
        <v/>
      </c>
      <c r="E307" s="104">
        <f>'Cost Input'!F239</f>
        <v>10.45</v>
      </c>
      <c r="F307" s="1051">
        <f>'Cost Input'!G239</f>
        <v>0.9</v>
      </c>
      <c r="G307" s="116" cm="1">
        <f t="array" ref="G307">$E307*(IF($D307 = "x", 1/G$476, 1)*G305)^$F307*_p_days</f>
        <v>10.428883884007245</v>
      </c>
      <c r="H307" s="116" cm="1">
        <f t="array" ref="H307">$E307*(IF($D307 = "x", 1/H$476, 1)*H305)^$F307*_p_days</f>
        <v>10.428883884007245</v>
      </c>
      <c r="I307" s="116" cm="1">
        <f t="array" ref="I307">$E307*(IF($D307 = "x", 1/I$476, 1)*I305)^$F307*_p_days</f>
        <v>10.428883884007245</v>
      </c>
      <c r="J307" s="116" cm="1">
        <f t="array" ref="J307">$E307*(IF($D307 = "x", 1/J$476, 1)*J305)^$F307*_p_days</f>
        <v>10.428883884007245</v>
      </c>
      <c r="K307" s="116" cm="1">
        <f t="array" ref="K307">$E307*(IF($D307 = "x", 1/K$476, 1)*K305)^$F307*_p_days</f>
        <v>10.428883884007245</v>
      </c>
      <c r="L307" s="116" cm="1">
        <f t="array" ref="L307">$E307*(IF($D307 = "x", 1/L$476, 1)*L305)^$F307*_p_days</f>
        <v>10.428883884007245</v>
      </c>
      <c r="M307" s="116" cm="1">
        <f t="array" ref="M307">$E307*(IF($D307 = "x", 1/M$476, 1)*M305)^$F307*_p_days</f>
        <v>10.428883884007245</v>
      </c>
      <c r="N307" s="44"/>
      <c r="O307" s="44"/>
      <c r="P307" s="44"/>
    </row>
    <row r="308" spans="2:16" ht="14" x14ac:dyDescent="0.2">
      <c r="C308" s="8" t="s">
        <v>1175</v>
      </c>
      <c r="D308" s="693" t="str">
        <f>IF($E$474&gt;1, "x", "")</f>
        <v/>
      </c>
      <c r="E308" s="104">
        <f>'Cost Input'!F240</f>
        <v>4700</v>
      </c>
      <c r="F308" s="1051">
        <f>'Cost Input'!G240</f>
        <v>0.95</v>
      </c>
      <c r="G308" s="104" cm="1">
        <f t="array" ref="G308">$E308*(IF($D308 = "x", 1/G$476, 1)*G305)^$F308*_p_days</f>
        <v>4689.9757403078365</v>
      </c>
      <c r="H308" s="104" cm="1">
        <f t="array" ref="H308">$E308*(IF($D308 = "x", 1/H$476, 1)*H305)^$F308*_p_days</f>
        <v>4689.9757403078365</v>
      </c>
      <c r="I308" s="104" cm="1">
        <f t="array" ref="I308">$E308*(IF($D308 = "x", 1/I$476, 1)*I305)^$F308*_p_days</f>
        <v>4689.9757403078365</v>
      </c>
      <c r="J308" s="104" cm="1">
        <f t="array" ref="J308">$E308*(IF($D308 = "x", 1/J$476, 1)*J305)^$F308*_p_days</f>
        <v>4689.9757403078365</v>
      </c>
      <c r="K308" s="104" cm="1">
        <f t="array" ref="K308">$E308*(IF($D308 = "x", 1/K$476, 1)*K305)^$F308*_p_days</f>
        <v>4689.9757403078365</v>
      </c>
      <c r="L308" s="104" cm="1">
        <f t="array" ref="L308">$E308*(IF($D308 = "x", 1/L$476, 1)*L305)^$F308*_p_days</f>
        <v>4689.9757403078365</v>
      </c>
      <c r="M308" s="104" cm="1">
        <f t="array" ref="M308">$E308*(IF($D308 = "x", 1/M$476, 1)*M305)^$F308*_p_days</f>
        <v>4689.9757403078365</v>
      </c>
      <c r="N308" s="44"/>
      <c r="O308" s="44"/>
      <c r="P308" s="44"/>
    </row>
    <row r="309" spans="2:16" x14ac:dyDescent="0.15">
      <c r="C309" s="8" t="s">
        <v>1184</v>
      </c>
      <c r="D309" s="693"/>
      <c r="E309" s="104">
        <f>'Cost Input'!F241</f>
        <v>1000</v>
      </c>
      <c r="F309" s="1051">
        <f>'Cost Input'!G241</f>
        <v>0.95</v>
      </c>
      <c r="G309" s="104" cm="1">
        <f t="array" ref="G309">$E309*(IF($D309 = "x", 1/G$476, 1)*G305)^$F309*_p_days</f>
        <v>997.86717878890136</v>
      </c>
      <c r="H309" s="104" cm="1">
        <f t="array" ref="H309">$E309*(IF($D309 = "x", 1/H$476, 1)*H305)^$F309*_p_days</f>
        <v>997.86717878890136</v>
      </c>
      <c r="I309" s="104" cm="1">
        <f t="array" ref="I309">$E309*(IF($D309 = "x", 1/I$476, 1)*I305)^$F309*_p_days</f>
        <v>997.86717878890136</v>
      </c>
      <c r="J309" s="104" cm="1">
        <f t="array" ref="J309">$E309*(IF($D309 = "x", 1/J$476, 1)*J305)^$F309*_p_days</f>
        <v>997.86717878890136</v>
      </c>
      <c r="K309" s="104" cm="1">
        <f t="array" ref="K309">$E309*(IF($D309 = "x", 1/K$476, 1)*K305)^$F309*_p_days</f>
        <v>997.86717878890136</v>
      </c>
      <c r="L309" s="104" cm="1">
        <f t="array" ref="L309">$E309*(IF($D309 = "x", 1/L$476, 1)*L305)^$F309*_p_days</f>
        <v>997.86717878890136</v>
      </c>
      <c r="M309" s="104" cm="1">
        <f t="array" ref="M309">$E309*(IF($D309 = "x", 1/M$476, 1)*M305)^$F309*_p_days</f>
        <v>997.86717878890136</v>
      </c>
      <c r="N309" s="44"/>
      <c r="O309" s="44"/>
      <c r="P309" s="44"/>
    </row>
    <row r="310" spans="2:16" x14ac:dyDescent="0.15">
      <c r="C310" s="8"/>
      <c r="D310" s="46"/>
      <c r="E310" s="104"/>
      <c r="F310" s="1051"/>
      <c r="G310" s="104"/>
      <c r="H310" s="104"/>
      <c r="I310" s="104"/>
      <c r="J310" s="104"/>
      <c r="K310" s="104"/>
      <c r="L310" s="104"/>
      <c r="M310" s="104"/>
      <c r="N310" s="44"/>
      <c r="O310" s="44"/>
      <c r="P310" s="44"/>
    </row>
    <row r="311" spans="2:16" ht="14" x14ac:dyDescent="0.15">
      <c r="B311" s="507" t="s">
        <v>1199</v>
      </c>
      <c r="C311" s="8"/>
      <c r="D311" s="8"/>
      <c r="E311" s="104"/>
      <c r="F311" s="1051"/>
      <c r="G311" s="10"/>
      <c r="H311" s="10"/>
      <c r="I311" s="10"/>
      <c r="J311" s="10"/>
      <c r="K311" s="10"/>
      <c r="L311" s="10"/>
      <c r="M311" s="10"/>
      <c r="N311" s="44"/>
      <c r="O311" s="44"/>
      <c r="P311" s="44"/>
    </row>
    <row r="312" spans="2:16" x14ac:dyDescent="0.15">
      <c r="C312" s="8" t="s">
        <v>1193</v>
      </c>
      <c r="D312" s="8"/>
      <c r="E312" s="104"/>
      <c r="F312" s="1051"/>
      <c r="G312" s="117">
        <f>G15/'Cost Input'!$F347</f>
        <v>0.99775505113494622</v>
      </c>
      <c r="H312" s="117">
        <f>H15/'Cost Input'!$F347</f>
        <v>0.99775505113494622</v>
      </c>
      <c r="I312" s="117">
        <f>I15/'Cost Input'!$F347</f>
        <v>0.99775505113494622</v>
      </c>
      <c r="J312" s="117">
        <f>J15/'Cost Input'!$F347</f>
        <v>0.99775505113494622</v>
      </c>
      <c r="K312" s="117">
        <f>K15/'Cost Input'!$F347</f>
        <v>0.99775505113494622</v>
      </c>
      <c r="L312" s="117">
        <f>L15/'Cost Input'!$F347</f>
        <v>0.99775505113494622</v>
      </c>
      <c r="M312" s="117">
        <f>M15/'Cost Input'!$F347</f>
        <v>0.99775505113494622</v>
      </c>
      <c r="N312" s="44"/>
      <c r="O312" s="44"/>
      <c r="P312" s="44"/>
    </row>
    <row r="313" spans="2:16" x14ac:dyDescent="0.15">
      <c r="C313" s="8" t="s">
        <v>1173</v>
      </c>
      <c r="D313" s="476"/>
      <c r="E313" s="104">
        <f>'Cost Input'!F245</f>
        <v>130000</v>
      </c>
      <c r="F313" s="1051">
        <f>'Cost Input'!G245</f>
        <v>0.9</v>
      </c>
      <c r="G313" s="104">
        <f t="shared" ref="G313:M313" si="60">$E313*(IF($D313 = "x", 1/G$476, 1)*G312)^$F313</f>
        <v>129737.31147568823</v>
      </c>
      <c r="H313" s="104">
        <f t="shared" si="60"/>
        <v>129737.31147568823</v>
      </c>
      <c r="I313" s="104">
        <f t="shared" si="60"/>
        <v>129737.31147568823</v>
      </c>
      <c r="J313" s="104">
        <f t="shared" si="60"/>
        <v>129737.31147568823</v>
      </c>
      <c r="K313" s="104">
        <f t="shared" si="60"/>
        <v>129737.31147568823</v>
      </c>
      <c r="L313" s="104">
        <f t="shared" si="60"/>
        <v>129737.31147568823</v>
      </c>
      <c r="M313" s="104">
        <f t="shared" si="60"/>
        <v>129737.31147568823</v>
      </c>
      <c r="N313" s="44"/>
      <c r="O313" s="44"/>
      <c r="P313" s="44"/>
    </row>
    <row r="314" spans="2:16" x14ac:dyDescent="0.15">
      <c r="C314" s="8" t="s">
        <v>1174</v>
      </c>
      <c r="D314" s="693" t="str">
        <f>IF($E$474&gt;2, "x", "")</f>
        <v/>
      </c>
      <c r="E314" s="104">
        <f>'Cost Input'!F246</f>
        <v>23.75</v>
      </c>
      <c r="F314" s="1051">
        <f>'Cost Input'!G246</f>
        <v>0.9</v>
      </c>
      <c r="G314" s="116" cm="1">
        <f t="array" ref="G314">$E314*(IF($D314 = "x", 1/G$476, 1)*G312)^$F314*_p_days</f>
        <v>23.702008827289195</v>
      </c>
      <c r="H314" s="116" cm="1">
        <f t="array" ref="H314">$E314*(IF($D314 = "x", 1/H$476, 1)*H312)^$F314*_p_days</f>
        <v>23.702008827289195</v>
      </c>
      <c r="I314" s="116" cm="1">
        <f t="array" ref="I314">$E314*(IF($D314 = "x", 1/I$476, 1)*I312)^$F314*_p_days</f>
        <v>23.702008827289195</v>
      </c>
      <c r="J314" s="116" cm="1">
        <f t="array" ref="J314">$E314*(IF($D314 = "x", 1/J$476, 1)*J312)^$F314*_p_days</f>
        <v>23.702008827289195</v>
      </c>
      <c r="K314" s="116" cm="1">
        <f t="array" ref="K314">$E314*(IF($D314 = "x", 1/K$476, 1)*K312)^$F314*_p_days</f>
        <v>23.702008827289195</v>
      </c>
      <c r="L314" s="116" cm="1">
        <f t="array" ref="L314">$E314*(IF($D314 = "x", 1/L$476, 1)*L312)^$F314*_p_days</f>
        <v>23.702008827289195</v>
      </c>
      <c r="M314" s="116" cm="1">
        <f t="array" ref="M314">$E314*(IF($D314 = "x", 1/M$476, 1)*M312)^$F314*_p_days</f>
        <v>23.702008827289195</v>
      </c>
      <c r="N314" s="44"/>
      <c r="O314" s="44"/>
      <c r="P314" s="44"/>
    </row>
    <row r="315" spans="2:16" ht="14" x14ac:dyDescent="0.2">
      <c r="C315" s="8" t="s">
        <v>1175</v>
      </c>
      <c r="D315" s="693" t="str">
        <f>IF($E$474&gt;1, "x", "")</f>
        <v/>
      </c>
      <c r="E315" s="104">
        <f>'Cost Input'!F247</f>
        <v>11000</v>
      </c>
      <c r="F315" s="1051">
        <f>'Cost Input'!G247</f>
        <v>0.95</v>
      </c>
      <c r="G315" s="104" cm="1">
        <f t="array" ref="G315">$E315*(IF($D315 = "x", 1/G$476, 1)*G312)^$F315*_p_days</f>
        <v>10976.538966677914</v>
      </c>
      <c r="H315" s="104" cm="1">
        <f t="array" ref="H315">$E315*(IF($D315 = "x", 1/H$476, 1)*H312)^$F315*_p_days</f>
        <v>10976.538966677914</v>
      </c>
      <c r="I315" s="104" cm="1">
        <f t="array" ref="I315">$E315*(IF($D315 = "x", 1/I$476, 1)*I312)^$F315*_p_days</f>
        <v>10976.538966677914</v>
      </c>
      <c r="J315" s="104" cm="1">
        <f t="array" ref="J315">$E315*(IF($D315 = "x", 1/J$476, 1)*J312)^$F315*_p_days</f>
        <v>10976.538966677914</v>
      </c>
      <c r="K315" s="104" cm="1">
        <f t="array" ref="K315">$E315*(IF($D315 = "x", 1/K$476, 1)*K312)^$F315*_p_days</f>
        <v>10976.538966677914</v>
      </c>
      <c r="L315" s="104" cm="1">
        <f t="array" ref="L315">$E315*(IF($D315 = "x", 1/L$476, 1)*L312)^$F315*_p_days</f>
        <v>10976.538966677914</v>
      </c>
      <c r="M315" s="104" cm="1">
        <f t="array" ref="M315">$E315*(IF($D315 = "x", 1/M$476, 1)*M312)^$F315*_p_days</f>
        <v>10976.538966677914</v>
      </c>
      <c r="N315" s="44"/>
      <c r="O315" s="44"/>
      <c r="P315" s="44"/>
    </row>
    <row r="316" spans="2:16" x14ac:dyDescent="0.15">
      <c r="C316" s="8" t="s">
        <v>1184</v>
      </c>
      <c r="D316" s="693"/>
      <c r="E316" s="104">
        <f>'Cost Input'!F248</f>
        <v>2400</v>
      </c>
      <c r="F316" s="1051">
        <f>'Cost Input'!G248</f>
        <v>0.95</v>
      </c>
      <c r="G316" s="104" cm="1">
        <f t="array" ref="G316">$E316*(IF($D316 = "x", 1/G$476, 1)*G312)^$F316*_p_days</f>
        <v>2394.8812290933629</v>
      </c>
      <c r="H316" s="104" cm="1">
        <f t="array" ref="H316">$E316*(IF($D316 = "x", 1/H$476, 1)*H312)^$F316*_p_days</f>
        <v>2394.8812290933629</v>
      </c>
      <c r="I316" s="104" cm="1">
        <f t="array" ref="I316">$E316*(IF($D316 = "x", 1/I$476, 1)*I312)^$F316*_p_days</f>
        <v>2394.8812290933629</v>
      </c>
      <c r="J316" s="104" cm="1">
        <f t="array" ref="J316">$E316*(IF($D316 = "x", 1/J$476, 1)*J312)^$F316*_p_days</f>
        <v>2394.8812290933629</v>
      </c>
      <c r="K316" s="104" cm="1">
        <f t="array" ref="K316">$E316*(IF($D316 = "x", 1/K$476, 1)*K312)^$F316*_p_days</f>
        <v>2394.8812290933629</v>
      </c>
      <c r="L316" s="104" cm="1">
        <f t="array" ref="L316">$E316*(IF($D316 = "x", 1/L$476, 1)*L312)^$F316*_p_days</f>
        <v>2394.8812290933629</v>
      </c>
      <c r="M316" s="104" cm="1">
        <f t="array" ref="M316">$E316*(IF($D316 = "x", 1/M$476, 1)*M312)^$F316*_p_days</f>
        <v>2394.8812290933629</v>
      </c>
      <c r="N316" s="44"/>
      <c r="O316" s="44"/>
      <c r="P316" s="44"/>
    </row>
    <row r="317" spans="2:16" x14ac:dyDescent="0.15">
      <c r="C317" s="8"/>
      <c r="D317" s="46"/>
      <c r="E317" s="104"/>
      <c r="F317" s="1051"/>
      <c r="G317" s="104"/>
      <c r="H317" s="104"/>
      <c r="I317" s="104"/>
      <c r="J317" s="104"/>
      <c r="K317" s="104"/>
      <c r="L317" s="104"/>
      <c r="M317" s="104"/>
      <c r="N317" s="44"/>
      <c r="O317" s="44"/>
      <c r="P317" s="44"/>
    </row>
    <row r="318" spans="2:16" ht="14" x14ac:dyDescent="0.15">
      <c r="B318" s="507" t="s">
        <v>1200</v>
      </c>
      <c r="C318" s="8"/>
      <c r="D318" s="8"/>
      <c r="E318" s="104"/>
      <c r="F318" s="1051"/>
      <c r="G318" s="104"/>
      <c r="H318" s="104"/>
      <c r="I318" s="104"/>
      <c r="J318" s="104"/>
      <c r="K318" s="104"/>
      <c r="L318" s="104"/>
      <c r="M318" s="104"/>
      <c r="N318" s="44"/>
      <c r="O318" s="44"/>
      <c r="P318" s="44"/>
    </row>
    <row r="319" spans="2:16" x14ac:dyDescent="0.15">
      <c r="C319" s="8" t="s">
        <v>1201</v>
      </c>
      <c r="D319" s="8"/>
      <c r="E319" s="104"/>
      <c r="F319" s="1051"/>
      <c r="G319" s="117">
        <f ca="1">MAX(G15/'Cost Input'!$F347, (G16+G17)/('Cost Input'!$F$348+'Cost Input'!$F$349))</f>
        <v>0.99775505113494622</v>
      </c>
      <c r="H319" s="117">
        <f ca="1">MAX(H15/'Cost Input'!$F347, (H16+H17)/('Cost Input'!$F$348+'Cost Input'!$F$349))</f>
        <v>0.99775505113494622</v>
      </c>
      <c r="I319" s="117">
        <f ca="1">MAX(I15/'Cost Input'!$F347, (I16+I17)/('Cost Input'!$F$348+'Cost Input'!$F$349))</f>
        <v>0.99775505113494622</v>
      </c>
      <c r="J319" s="117">
        <f ca="1">MAX(J15/'Cost Input'!$F347, (J16+J17)/('Cost Input'!$F$348+'Cost Input'!$F$349))</f>
        <v>0.99775505113494622</v>
      </c>
      <c r="K319" s="117">
        <f ca="1">MAX(K15/'Cost Input'!$F347, (K16+K17)/('Cost Input'!$F$348+'Cost Input'!$F$349))</f>
        <v>0.99775505113494622</v>
      </c>
      <c r="L319" s="117">
        <f ca="1">MAX(L15/'Cost Input'!$F347, (L16+L17)/('Cost Input'!$F$348+'Cost Input'!$F$349))</f>
        <v>0.99775505113494622</v>
      </c>
      <c r="M319" s="117">
        <f ca="1">MAX(M15/'Cost Input'!$F347, (M16+M17)/('Cost Input'!$F$348+'Cost Input'!$F$349))</f>
        <v>0.99775505113494622</v>
      </c>
      <c r="N319" s="117">
        <f>MAX(N15/'Cost Input'!$F347, (N16+N17)/('Cost Input'!$F$348+'Cost Input'!$F$349))</f>
        <v>0</v>
      </c>
      <c r="O319" s="44"/>
      <c r="P319" s="44"/>
    </row>
    <row r="320" spans="2:16" x14ac:dyDescent="0.15">
      <c r="C320" s="8" t="s">
        <v>1173</v>
      </c>
      <c r="D320" s="476"/>
      <c r="E320" s="104">
        <f>'Cost Input'!F252</f>
        <v>10000</v>
      </c>
      <c r="F320" s="1051">
        <f>'Cost Input'!G252</f>
        <v>0</v>
      </c>
      <c r="G320" s="104">
        <f t="shared" ref="G320:M320" ca="1" si="61">$E320*(IF($D320 = "x", 1/G$476, 1)*G319)^$F320</f>
        <v>10000</v>
      </c>
      <c r="H320" s="104">
        <f t="shared" ca="1" si="61"/>
        <v>10000</v>
      </c>
      <c r="I320" s="104">
        <f t="shared" ca="1" si="61"/>
        <v>10000</v>
      </c>
      <c r="J320" s="104">
        <f t="shared" ca="1" si="61"/>
        <v>10000</v>
      </c>
      <c r="K320" s="104">
        <f t="shared" ca="1" si="61"/>
        <v>10000</v>
      </c>
      <c r="L320" s="104">
        <f t="shared" ca="1" si="61"/>
        <v>10000</v>
      </c>
      <c r="M320" s="104">
        <f t="shared" ca="1" si="61"/>
        <v>10000</v>
      </c>
      <c r="N320" s="44"/>
      <c r="O320" s="44"/>
      <c r="P320" s="44"/>
    </row>
    <row r="321" spans="2:24" x14ac:dyDescent="0.15">
      <c r="C321" s="8" t="s">
        <v>1174</v>
      </c>
      <c r="D321" s="693" t="str">
        <f>IF($E$474&gt;1, "x", "")</f>
        <v/>
      </c>
      <c r="E321" s="116">
        <f>'Cost Input'!F253</f>
        <v>6.9349999999999996</v>
      </c>
      <c r="F321" s="1051">
        <f>'Cost Input'!G253</f>
        <v>0.9</v>
      </c>
      <c r="G321" s="116" cm="1">
        <f t="array" aca="1" ref="G321" ca="1">$E321*(IF($D321 = "x", 1/G$476, 1)*G319)^$F321*_p_days</f>
        <v>6.9209865775684447</v>
      </c>
      <c r="H321" s="116" cm="1">
        <f t="array" aca="1" ref="H321" ca="1">$E321*(IF($D321 = "x", 1/H$476, 1)*H319)^$F321*_p_days</f>
        <v>6.9209865775684447</v>
      </c>
      <c r="I321" s="116" cm="1">
        <f t="array" aca="1" ref="I321" ca="1">$E321*(IF($D321 = "x", 1/I$476, 1)*I319)^$F321*_p_days</f>
        <v>6.9209865775684447</v>
      </c>
      <c r="J321" s="116" cm="1">
        <f t="array" aca="1" ref="J321" ca="1">$E321*(IF($D321 = "x", 1/J$476, 1)*J319)^$F321*_p_days</f>
        <v>6.9209865775684447</v>
      </c>
      <c r="K321" s="116" cm="1">
        <f t="array" aca="1" ref="K321" ca="1">$E321*(IF($D321 = "x", 1/K$476, 1)*K319)^$F321*_p_days</f>
        <v>6.9209865775684447</v>
      </c>
      <c r="L321" s="116" cm="1">
        <f t="array" aca="1" ref="L321" ca="1">$E321*(IF($D321 = "x", 1/L$476, 1)*L319)^$F321*_p_days</f>
        <v>6.9209865775684447</v>
      </c>
      <c r="M321" s="116" cm="1">
        <f t="array" aca="1" ref="M321" ca="1">$E321*(IF($D321 = "x", 1/M$476, 1)*M319)^$F321*_p_days</f>
        <v>6.9209865775684447</v>
      </c>
      <c r="N321" s="116" cm="1">
        <f t="array" ref="N321">$E321*(IF($D321 = "x", 1/N$476, 1)*N319)^$F321*_p_days</f>
        <v>0</v>
      </c>
      <c r="O321" s="44"/>
      <c r="P321" s="44"/>
    </row>
    <row r="322" spans="2:24" ht="14" x14ac:dyDescent="0.2">
      <c r="C322" s="8" t="s">
        <v>1175</v>
      </c>
      <c r="D322" s="693" t="str">
        <f>IF($E$474&gt;1, "x", "")</f>
        <v/>
      </c>
      <c r="E322" s="104">
        <f>'Cost Input'!F254</f>
        <v>700</v>
      </c>
      <c r="F322" s="1051">
        <f>'Cost Input'!G254</f>
        <v>0.95</v>
      </c>
      <c r="G322" s="105" cm="1">
        <f t="array" aca="1" ref="G322" ca="1">$E322*(IF($D322 = "x", 1/G$476, 1)*G319)^$F322*_p_days</f>
        <v>698.50702515223088</v>
      </c>
      <c r="H322" s="105" cm="1">
        <f t="array" aca="1" ref="H322" ca="1">$E322*(IF($D322 = "x", 1/H$476, 1)*H319)^$F322*_p_days</f>
        <v>698.50702515223088</v>
      </c>
      <c r="I322" s="105" cm="1">
        <f t="array" aca="1" ref="I322" ca="1">$E322*(IF($D322 = "x", 1/I$476, 1)*I319)^$F322*_p_days</f>
        <v>698.50702515223088</v>
      </c>
      <c r="J322" s="105" cm="1">
        <f t="array" aca="1" ref="J322" ca="1">$E322*(IF($D322 = "x", 1/J$476, 1)*J319)^$F322*_p_days</f>
        <v>698.50702515223088</v>
      </c>
      <c r="K322" s="105" cm="1">
        <f t="array" aca="1" ref="K322" ca="1">$E322*(IF($D322 = "x", 1/K$476, 1)*K319)^$F322*_p_days</f>
        <v>698.50702515223088</v>
      </c>
      <c r="L322" s="105" cm="1">
        <f t="array" aca="1" ref="L322" ca="1">$E322*(IF($D322 = "x", 1/L$476, 1)*L319)^$F322*_p_days</f>
        <v>698.50702515223088</v>
      </c>
      <c r="M322" s="105" cm="1">
        <f t="array" aca="1" ref="M322" ca="1">$E322*(IF($D322 = "x", 1/M$476, 1)*M319)^$F322*_p_days</f>
        <v>698.50702515223088</v>
      </c>
      <c r="N322" s="105" cm="1">
        <f t="array" ref="N322">$E322*(IF($D322 = "x", 1/N$476, 1)*N319)^$F322*_p_days</f>
        <v>0</v>
      </c>
      <c r="O322" s="44"/>
      <c r="P322" s="44"/>
    </row>
    <row r="323" spans="2:24" x14ac:dyDescent="0.15">
      <c r="C323" s="8" t="s">
        <v>1184</v>
      </c>
      <c r="D323" s="693"/>
      <c r="E323" s="104">
        <f>'Cost Input'!F255</f>
        <v>300</v>
      </c>
      <c r="F323" s="1051">
        <f>'Cost Input'!G255</f>
        <v>0.95</v>
      </c>
      <c r="G323" s="105" cm="1">
        <f t="array" aca="1" ref="G323" ca="1">$E323*(IF($D323 = "x", 1/G$476, 1)*G319)^$F323*_p_days</f>
        <v>299.36015363667036</v>
      </c>
      <c r="H323" s="105" cm="1">
        <f t="array" aca="1" ref="H323" ca="1">$E323*(IF($D323 = "x", 1/H$476, 1)*H319)^$F323*_p_days</f>
        <v>299.36015363667036</v>
      </c>
      <c r="I323" s="105" cm="1">
        <f t="array" aca="1" ref="I323" ca="1">$E323*(IF($D323 = "x", 1/I$476, 1)*I319)^$F323*_p_days</f>
        <v>299.36015363667036</v>
      </c>
      <c r="J323" s="105" cm="1">
        <f t="array" aca="1" ref="J323" ca="1">$E323*(IF($D323 = "x", 1/J$476, 1)*J319)^$F323*_p_days</f>
        <v>299.36015363667036</v>
      </c>
      <c r="K323" s="105" cm="1">
        <f t="array" aca="1" ref="K323" ca="1">$E323*(IF($D323 = "x", 1/K$476, 1)*K319)^$F323*_p_days</f>
        <v>299.36015363667036</v>
      </c>
      <c r="L323" s="105" cm="1">
        <f t="array" aca="1" ref="L323" ca="1">$E323*(IF($D323 = "x", 1/L$476, 1)*L319)^$F323*_p_days</f>
        <v>299.36015363667036</v>
      </c>
      <c r="M323" s="105" cm="1">
        <f t="array" aca="1" ref="M323" ca="1">$E323*(IF($D323 = "x", 1/M$476, 1)*M319)^$F323*_p_days</f>
        <v>299.36015363667036</v>
      </c>
      <c r="N323" s="105" cm="1">
        <f t="array" ref="N323">$E323*(IF($D323 = "x", 1/N$476, 1)*N319)^$F323*_p_days</f>
        <v>0</v>
      </c>
      <c r="O323" s="44"/>
      <c r="P323" s="44"/>
    </row>
    <row r="324" spans="2:24" x14ac:dyDescent="0.15">
      <c r="C324" s="8"/>
      <c r="D324" s="46"/>
      <c r="E324" s="104"/>
      <c r="F324" s="1051"/>
      <c r="G324" s="104"/>
      <c r="H324" s="104"/>
      <c r="I324" s="104"/>
      <c r="J324" s="104"/>
      <c r="K324" s="104"/>
      <c r="L324" s="104"/>
      <c r="M324" s="104"/>
      <c r="N324" s="44"/>
      <c r="O324" s="44"/>
      <c r="P324" s="44"/>
    </row>
    <row r="325" spans="2:24" ht="16" x14ac:dyDescent="0.2">
      <c r="B325" s="5" t="s">
        <v>1202</v>
      </c>
      <c r="C325" s="8"/>
      <c r="D325" s="8"/>
      <c r="E325" s="81"/>
      <c r="F325" s="1053"/>
      <c r="G325" s="104"/>
      <c r="H325" s="104"/>
      <c r="I325" s="104"/>
      <c r="J325" s="104"/>
      <c r="K325" s="104"/>
      <c r="L325" s="104"/>
      <c r="M325" s="104"/>
      <c r="N325" s="44"/>
      <c r="O325" s="44"/>
      <c r="P325" s="44"/>
    </row>
    <row r="326" spans="2:24" ht="14" x14ac:dyDescent="0.15">
      <c r="B326" s="507" t="s">
        <v>1203</v>
      </c>
      <c r="C326" s="26"/>
      <c r="D326" s="26"/>
      <c r="E326" s="104"/>
      <c r="F326" s="1051"/>
      <c r="G326" s="10"/>
      <c r="H326" s="10"/>
      <c r="I326" s="10"/>
      <c r="J326" s="10"/>
      <c r="K326" s="10"/>
      <c r="L326" s="10"/>
      <c r="M326" s="10"/>
      <c r="N326" s="44"/>
      <c r="O326" s="44"/>
      <c r="P326" s="44"/>
    </row>
    <row r="327" spans="2:24" x14ac:dyDescent="0.15">
      <c r="C327" s="8" t="s">
        <v>1193</v>
      </c>
      <c r="D327" s="8"/>
      <c r="E327" s="104"/>
      <c r="F327" s="1051"/>
      <c r="G327" s="117">
        <f>G15/'Cost Input'!$F347</f>
        <v>0.99775505113494622</v>
      </c>
      <c r="H327" s="117">
        <f>H15/'Cost Input'!$F347</f>
        <v>0.99775505113494622</v>
      </c>
      <c r="I327" s="117">
        <f>I15/'Cost Input'!$F347</f>
        <v>0.99775505113494622</v>
      </c>
      <c r="J327" s="117">
        <f>J15/'Cost Input'!$F347</f>
        <v>0.99775505113494622</v>
      </c>
      <c r="K327" s="117">
        <f>K15/'Cost Input'!$F347</f>
        <v>0.99775505113494622</v>
      </c>
      <c r="L327" s="117">
        <f>L15/'Cost Input'!$F347</f>
        <v>0.99775505113494622</v>
      </c>
      <c r="M327" s="117">
        <f>M15/'Cost Input'!$F347</f>
        <v>0.99775505113494622</v>
      </c>
      <c r="N327" s="811">
        <f>N15/'Cost Input'!$F347</f>
        <v>0</v>
      </c>
      <c r="O327" s="44"/>
      <c r="P327" s="44"/>
    </row>
    <row r="328" spans="2:24" x14ac:dyDescent="0.15">
      <c r="C328" s="8" t="s">
        <v>1204</v>
      </c>
      <c r="D328" s="8"/>
      <c r="E328" s="104"/>
      <c r="F328" s="1051"/>
      <c r="G328" s="117">
        <f ca="1">G13/G14*G15/('Cost Input'!$F$340/'Cost Input'!$F$346*'Cost Input'!$F$347)</f>
        <v>0.99775505113512353</v>
      </c>
      <c r="H328" s="117">
        <f ca="1">H13/H14*H15/('Cost Input'!$F$340/'Cost Input'!$F$346*'Cost Input'!$F$347)</f>
        <v>0.99775505113512353</v>
      </c>
      <c r="I328" s="117">
        <f ca="1">I13/I14*I15/('Cost Input'!$F$340/'Cost Input'!$F$346*'Cost Input'!$F$347)</f>
        <v>0.99775505113512353</v>
      </c>
      <c r="J328" s="117">
        <f ca="1">J13/J14*J15/('Cost Input'!$F$340/'Cost Input'!$F$346*'Cost Input'!$F$347)</f>
        <v>0.99775505113512353</v>
      </c>
      <c r="K328" s="117">
        <f ca="1">K13/K14*K15/('Cost Input'!$F$340/'Cost Input'!$F$346*'Cost Input'!$F$347)</f>
        <v>0.99775505113512353</v>
      </c>
      <c r="L328" s="117">
        <f ca="1">L13/L14*L15/('Cost Input'!$F$340/'Cost Input'!$F$346*'Cost Input'!$F$347)</f>
        <v>0.99775505113512353</v>
      </c>
      <c r="M328" s="117">
        <f ca="1">M13/M14*M15/('Cost Input'!$F$340/'Cost Input'!$F$346*'Cost Input'!$F$347)</f>
        <v>0.99775505113512353</v>
      </c>
      <c r="N328" s="811"/>
      <c r="O328" s="44"/>
      <c r="P328" s="44"/>
    </row>
    <row r="329" spans="2:24" x14ac:dyDescent="0.15">
      <c r="C329" s="8" t="s">
        <v>1194</v>
      </c>
      <c r="D329" s="8"/>
      <c r="E329" s="116">
        <f>'Cost Input'!F260</f>
        <v>68</v>
      </c>
      <c r="F329" s="1051">
        <f>'Cost Input'!G260</f>
        <v>0.3</v>
      </c>
      <c r="G329" s="116">
        <f ca="1">'Battery Design'!G35</f>
        <v>67.939713246199872</v>
      </c>
      <c r="H329" s="116">
        <f ca="1">'Battery Design'!H35</f>
        <v>67.939713246199872</v>
      </c>
      <c r="I329" s="116">
        <f ca="1">'Battery Design'!I35</f>
        <v>67.939713246199872</v>
      </c>
      <c r="J329" s="116">
        <f ca="1">'Battery Design'!J35</f>
        <v>67.939713246199872</v>
      </c>
      <c r="K329" s="116">
        <f ca="1">'Battery Design'!K35</f>
        <v>67.939713246199872</v>
      </c>
      <c r="L329" s="116">
        <f ca="1">'Battery Design'!L35</f>
        <v>67.939713246199872</v>
      </c>
      <c r="M329" s="116">
        <f ca="1">'Battery Design'!M35</f>
        <v>67.939713246199872</v>
      </c>
      <c r="N329" s="44"/>
      <c r="O329" s="44"/>
      <c r="P329" s="44"/>
    </row>
    <row r="330" spans="2:24" x14ac:dyDescent="0.15">
      <c r="C330" s="8" t="s">
        <v>1173</v>
      </c>
      <c r="D330" s="476"/>
      <c r="E330" s="812">
        <f>'Cost Input'!F261</f>
        <v>560000</v>
      </c>
      <c r="F330" s="1051">
        <f>'Cost Input'!G261</f>
        <v>0.7</v>
      </c>
      <c r="G330" s="104">
        <f t="shared" ref="G330:M330" ca="1" si="62">$E330*(IF($D330 = "x", 1/G$476, 1)*G$327)^$F330*(G329/$E$329)^$F$329</f>
        <v>558970.92764254077</v>
      </c>
      <c r="H330" s="104">
        <f t="shared" ca="1" si="62"/>
        <v>558970.92764254077</v>
      </c>
      <c r="I330" s="104">
        <f t="shared" ca="1" si="62"/>
        <v>558970.92764254077</v>
      </c>
      <c r="J330" s="104">
        <f t="shared" ca="1" si="62"/>
        <v>558970.92764254077</v>
      </c>
      <c r="K330" s="104">
        <f t="shared" ca="1" si="62"/>
        <v>558970.92764254077</v>
      </c>
      <c r="L330" s="104">
        <f t="shared" ca="1" si="62"/>
        <v>558970.92764254077</v>
      </c>
      <c r="M330" s="104">
        <f t="shared" ca="1" si="62"/>
        <v>558970.92764254077</v>
      </c>
      <c r="N330" s="44"/>
      <c r="O330" s="44"/>
      <c r="P330" s="44"/>
    </row>
    <row r="331" spans="2:24" x14ac:dyDescent="0.15">
      <c r="C331" s="8" t="s">
        <v>1174</v>
      </c>
      <c r="D331" s="693" t="str">
        <f>IF($E$474&gt;2, "x", "")</f>
        <v/>
      </c>
      <c r="E331" s="116">
        <f>'Cost Input'!F262</f>
        <v>763.6</v>
      </c>
      <c r="F331" s="1051">
        <f>'Cost Input'!G262</f>
        <v>0.95</v>
      </c>
      <c r="G331" s="116">
        <f t="shared" ref="G331:M331" ca="1" si="63">$E331*(IF($D331 = "x", 1/G$476, 1)*G$327)^$F331*IF(G329&gt;80,1.1,1)*(G329/$E$329)^$F$329</f>
        <v>761.76865253713606</v>
      </c>
      <c r="H331" s="116">
        <f t="shared" ca="1" si="63"/>
        <v>761.76865253713606</v>
      </c>
      <c r="I331" s="116">
        <f t="shared" ca="1" si="63"/>
        <v>761.76865253713606</v>
      </c>
      <c r="J331" s="116">
        <f t="shared" ca="1" si="63"/>
        <v>761.76865253713606</v>
      </c>
      <c r="K331" s="116">
        <f t="shared" ca="1" si="63"/>
        <v>761.76865253713606</v>
      </c>
      <c r="L331" s="116">
        <f t="shared" ca="1" si="63"/>
        <v>761.76865253713606</v>
      </c>
      <c r="M331" s="116">
        <f t="shared" ca="1" si="63"/>
        <v>761.76865253713606</v>
      </c>
      <c r="N331" s="44"/>
      <c r="O331" s="44"/>
      <c r="P331" s="44"/>
    </row>
    <row r="332" spans="2:24" ht="14" x14ac:dyDescent="0.2">
      <c r="C332" s="8" t="s">
        <v>1175</v>
      </c>
      <c r="D332" s="693" t="str">
        <f>IF($E$474&gt;1, "x", "")</f>
        <v/>
      </c>
      <c r="E332" s="812">
        <f>'Cost Input'!F263</f>
        <v>110000</v>
      </c>
      <c r="F332" s="1051">
        <f>'Cost Input'!G263</f>
        <v>0.95</v>
      </c>
      <c r="G332" s="104">
        <f t="shared" ref="G332:M332" ca="1" si="64">$E332*(IF($D332 = "x", 1/G$476, 1)*G$327)^$F332*(G329/$E$329)^$F$329</f>
        <v>109736.18619576344</v>
      </c>
      <c r="H332" s="104">
        <f t="shared" ca="1" si="64"/>
        <v>109736.18619576344</v>
      </c>
      <c r="I332" s="104">
        <f t="shared" ca="1" si="64"/>
        <v>109736.18619576344</v>
      </c>
      <c r="J332" s="104">
        <f t="shared" ca="1" si="64"/>
        <v>109736.18619576344</v>
      </c>
      <c r="K332" s="104">
        <f t="shared" ca="1" si="64"/>
        <v>109736.18619576344</v>
      </c>
      <c r="L332" s="104">
        <f t="shared" ca="1" si="64"/>
        <v>109736.18619576344</v>
      </c>
      <c r="M332" s="104">
        <f t="shared" ca="1" si="64"/>
        <v>109736.18619576344</v>
      </c>
      <c r="N332" s="44"/>
      <c r="O332" s="44"/>
      <c r="P332" s="44"/>
    </row>
    <row r="333" spans="2:24" x14ac:dyDescent="0.15">
      <c r="C333" s="8" t="s">
        <v>1184</v>
      </c>
      <c r="D333" s="693"/>
      <c r="E333" s="812">
        <f>'Cost Input'!F264</f>
        <v>72000</v>
      </c>
      <c r="F333" s="1051">
        <f>'Cost Input'!G264</f>
        <v>1</v>
      </c>
      <c r="G333" s="104" cm="1">
        <f t="array" aca="1" ref="G333" ca="1">$E333*(IF($D333 = "x", 1/G$476, 1)*G$328)^$F333*_p_days</f>
        <v>71838.363681728893</v>
      </c>
      <c r="H333" s="104" cm="1">
        <f t="array" aca="1" ref="H333" ca="1">$E333*(IF($D333 = "x", 1/H$476, 1)*H$328)^$F333*_p_days</f>
        <v>71838.363681728893</v>
      </c>
      <c r="I333" s="104" cm="1">
        <f t="array" aca="1" ref="I333" ca="1">$E333*(IF($D333 = "x", 1/I$476, 1)*I$328)^$F333*_p_days</f>
        <v>71838.363681728893</v>
      </c>
      <c r="J333" s="104" cm="1">
        <f t="array" aca="1" ref="J333" ca="1">$E333*(IF($D333 = "x", 1/J$476, 1)*J$328)^$F333*_p_days</f>
        <v>71838.363681728893</v>
      </c>
      <c r="K333" s="104" cm="1">
        <f t="array" aca="1" ref="K333" ca="1">$E333*(IF($D333 = "x", 1/K$476, 1)*K$328)^$F333*_p_days</f>
        <v>71838.363681728893</v>
      </c>
      <c r="L333" s="104" cm="1">
        <f t="array" aca="1" ref="L333" ca="1">$E333*(IF($D333 = "x", 1/L$476, 1)*L$328)^$F333*_p_days</f>
        <v>71838.363681728893</v>
      </c>
      <c r="M333" s="104" cm="1">
        <f t="array" aca="1" ref="M333" ca="1">$E333*(IF($D333 = "x", 1/M$476, 1)*M$328)^$F333*_p_days</f>
        <v>71838.363681728893</v>
      </c>
      <c r="N333" s="104">
        <f>$E333*(IF($D333 = "x", 1/N$476, 1)*N$328)^$F333</f>
        <v>0</v>
      </c>
      <c r="O333" s="44"/>
      <c r="P333" s="44"/>
    </row>
    <row r="334" spans="2:24" x14ac:dyDescent="0.15">
      <c r="C334" s="8"/>
      <c r="D334" s="46"/>
      <c r="E334" s="104"/>
      <c r="F334" s="1051"/>
      <c r="G334" s="104"/>
      <c r="H334" s="104"/>
      <c r="I334" s="104"/>
      <c r="J334" s="104"/>
      <c r="K334" s="104"/>
      <c r="L334" s="104"/>
      <c r="M334" s="104"/>
      <c r="N334" s="44"/>
      <c r="O334" s="44"/>
      <c r="P334" s="44"/>
    </row>
    <row r="335" spans="2:24" ht="16" x14ac:dyDescent="0.2">
      <c r="B335" s="5" t="s">
        <v>1205</v>
      </c>
      <c r="C335" s="26"/>
      <c r="D335" s="8"/>
      <c r="E335" s="81"/>
      <c r="F335" s="1053"/>
      <c r="G335" s="10"/>
      <c r="H335" s="10"/>
      <c r="I335" s="10"/>
      <c r="J335" s="10"/>
      <c r="K335" s="10"/>
      <c r="L335" s="10"/>
      <c r="M335" s="10"/>
      <c r="N335" s="44"/>
      <c r="O335" s="44"/>
      <c r="P335" s="44"/>
      <c r="R335" s="26"/>
      <c r="S335" s="71"/>
      <c r="T335" s="71"/>
      <c r="U335" s="71"/>
      <c r="V335" s="71"/>
      <c r="W335" s="71"/>
      <c r="X335" s="71"/>
    </row>
    <row r="336" spans="2:24" ht="14" x14ac:dyDescent="0.15">
      <c r="B336" s="507" t="s">
        <v>1206</v>
      </c>
      <c r="C336" s="26"/>
      <c r="D336" s="8"/>
      <c r="E336" s="104"/>
      <c r="F336" s="1051"/>
      <c r="G336" s="10"/>
      <c r="H336" s="10"/>
      <c r="I336" s="10"/>
      <c r="J336" s="10"/>
      <c r="K336" s="10"/>
      <c r="L336" s="10"/>
      <c r="M336" s="10"/>
      <c r="N336" s="44"/>
      <c r="O336" s="44"/>
      <c r="P336" s="44"/>
      <c r="R336" s="26"/>
      <c r="S336" s="71"/>
      <c r="T336" s="71"/>
      <c r="U336" s="71"/>
      <c r="V336" s="71"/>
      <c r="W336" s="71"/>
      <c r="X336" s="71"/>
    </row>
    <row r="337" spans="2:24" x14ac:dyDescent="0.15">
      <c r="C337" s="8" t="s">
        <v>1207</v>
      </c>
      <c r="D337" s="26"/>
      <c r="E337" s="104"/>
      <c r="F337" s="1051"/>
      <c r="G337" s="811">
        <f>G11/'Cost Input'!$F$343</f>
        <v>1</v>
      </c>
      <c r="H337" s="811">
        <f>H11/'Cost Input'!$F$343</f>
        <v>1</v>
      </c>
      <c r="I337" s="811">
        <f>I11/'Cost Input'!$F$343</f>
        <v>1</v>
      </c>
      <c r="J337" s="811">
        <f>J11/'Cost Input'!$F$343</f>
        <v>1</v>
      </c>
      <c r="K337" s="811">
        <f>K11/'Cost Input'!$F$343</f>
        <v>1</v>
      </c>
      <c r="L337" s="811">
        <f>L11/'Cost Input'!$F$343</f>
        <v>1</v>
      </c>
      <c r="M337" s="811">
        <f>M11/'Cost Input'!$F$343</f>
        <v>1</v>
      </c>
      <c r="N337" s="44"/>
      <c r="O337" s="44"/>
      <c r="P337" s="44"/>
      <c r="R337" s="26"/>
      <c r="S337" s="71"/>
      <c r="T337" s="71"/>
      <c r="U337" s="71"/>
      <c r="V337" s="71"/>
      <c r="W337" s="71"/>
      <c r="X337" s="71"/>
    </row>
    <row r="338" spans="2:24" x14ac:dyDescent="0.15">
      <c r="C338" s="8" t="s">
        <v>189</v>
      </c>
      <c r="D338" s="26"/>
      <c r="E338" s="104">
        <f>'Cost Input'!F269</f>
        <v>20</v>
      </c>
      <c r="F338" s="1052">
        <f>'Cost Input'!G269</f>
        <v>0.3</v>
      </c>
      <c r="G338" s="64">
        <f>'Battery Design'!G25</f>
        <v>20</v>
      </c>
      <c r="H338" s="64">
        <f>'Battery Design'!H25</f>
        <v>20</v>
      </c>
      <c r="I338" s="64">
        <f>'Battery Design'!I25</f>
        <v>20</v>
      </c>
      <c r="J338" s="64">
        <f>'Battery Design'!J25</f>
        <v>20</v>
      </c>
      <c r="K338" s="64">
        <f>'Battery Design'!K25</f>
        <v>20</v>
      </c>
      <c r="L338" s="64">
        <f>'Battery Design'!L25</f>
        <v>20</v>
      </c>
      <c r="M338" s="64">
        <f>'Battery Design'!M25</f>
        <v>20</v>
      </c>
      <c r="N338" s="44"/>
      <c r="O338" s="44"/>
      <c r="P338" s="44"/>
      <c r="R338" s="26"/>
      <c r="S338" s="71"/>
      <c r="T338" s="71"/>
      <c r="U338" s="71"/>
      <c r="V338" s="71"/>
      <c r="W338" s="71"/>
      <c r="X338" s="71"/>
    </row>
    <row r="339" spans="2:24" x14ac:dyDescent="0.15">
      <c r="C339" t="s">
        <v>1173</v>
      </c>
      <c r="D339" s="476"/>
      <c r="E339" s="104">
        <f>'Cost Input'!F270</f>
        <v>170000</v>
      </c>
      <c r="F339" s="1052">
        <f>'Cost Input'!G270</f>
        <v>0.7</v>
      </c>
      <c r="G339" s="64">
        <f t="shared" ref="G339:M339" si="65">$E339*(IF($D339 = "x", 1/G$476, 1)*G337)^$F339</f>
        <v>170000</v>
      </c>
      <c r="H339" s="64">
        <f t="shared" si="65"/>
        <v>170000</v>
      </c>
      <c r="I339" s="64">
        <f t="shared" si="65"/>
        <v>170000</v>
      </c>
      <c r="J339" s="64">
        <f t="shared" si="65"/>
        <v>170000</v>
      </c>
      <c r="K339" s="64">
        <f t="shared" si="65"/>
        <v>170000</v>
      </c>
      <c r="L339" s="64">
        <f t="shared" si="65"/>
        <v>170000</v>
      </c>
      <c r="M339" s="64">
        <f t="shared" si="65"/>
        <v>170000</v>
      </c>
      <c r="N339" s="44"/>
      <c r="O339" s="44"/>
      <c r="P339" s="44"/>
      <c r="R339" s="26"/>
      <c r="S339" s="71"/>
      <c r="T339" s="71"/>
      <c r="U339" s="71"/>
      <c r="V339" s="71"/>
      <c r="W339" s="71"/>
      <c r="X339" s="71"/>
    </row>
    <row r="340" spans="2:24" x14ac:dyDescent="0.15">
      <c r="C340" t="s">
        <v>1174</v>
      </c>
      <c r="D340" s="476" t="str">
        <f>IF($E$474&gt;2, "x", "")</f>
        <v/>
      </c>
      <c r="E340" s="64">
        <f>'Cost Input'!F271</f>
        <v>101.2</v>
      </c>
      <c r="F340" s="1052">
        <f>'Cost Input'!G271</f>
        <v>0.95</v>
      </c>
      <c r="G340" s="64" cm="1">
        <f t="array" ref="G340">$E340*(IF($D340 = "x", 1/G$476, 1)*G337)^$F340*(G338/$E338)^$F338*_p_days</f>
        <v>101.2</v>
      </c>
      <c r="H340" s="64" cm="1">
        <f t="array" ref="H340">$E340*(IF($D340 = "x", 1/H$476, 1)*H337)^$F340*(H338/$E338)^$F338*_p_days</f>
        <v>101.2</v>
      </c>
      <c r="I340" s="64" cm="1">
        <f t="array" ref="I340">$E340*(IF($D340 = "x", 1/I$476, 1)*I337)^$F340*(I338/$E338)^$F338*_p_days</f>
        <v>101.2</v>
      </c>
      <c r="J340" s="64" cm="1">
        <f t="array" ref="J340">$E340*(IF($D340 = "x", 1/J$476, 1)*J337)^$F340*(J338/$E338)^$F338*_p_days</f>
        <v>101.2</v>
      </c>
      <c r="K340" s="64" cm="1">
        <f t="array" ref="K340">$E340*(IF($D340 = "x", 1/K$476, 1)*K337)^$F340*(K338/$E338)^$F338*_p_days</f>
        <v>101.2</v>
      </c>
      <c r="L340" s="64" cm="1">
        <f t="array" ref="L340">$E340*(IF($D340 = "x", 1/L$476, 1)*L337)^$F340*(L338/$E338)^$F338*_p_days</f>
        <v>101.2</v>
      </c>
      <c r="M340" s="64" cm="1">
        <f t="array" ref="M340">$E340*(IF($D340 = "x", 1/M$476, 1)*M337)^$F340*(M338/$E338)^$F338*_p_days</f>
        <v>101.2</v>
      </c>
      <c r="N340" s="44"/>
      <c r="O340" s="44"/>
      <c r="P340" s="44"/>
      <c r="R340" s="26"/>
      <c r="S340" s="71"/>
      <c r="T340" s="71"/>
      <c r="U340" s="71"/>
      <c r="V340" s="71"/>
      <c r="W340" s="71"/>
      <c r="X340" s="71"/>
    </row>
    <row r="341" spans="2:24" ht="14" x14ac:dyDescent="0.2">
      <c r="C341" s="8" t="s">
        <v>1175</v>
      </c>
      <c r="D341" s="476" t="str">
        <f>IF($E$474&gt;1, "x", "")</f>
        <v/>
      </c>
      <c r="E341" s="104">
        <f>'Cost Input'!F272</f>
        <v>27000</v>
      </c>
      <c r="F341" s="1052">
        <f>'Cost Input'!G272</f>
        <v>0.95</v>
      </c>
      <c r="G341" s="64" cm="1">
        <f t="array" ref="G341">$E341*(IF($D341 = "x", 1/G$476, 1)*G337)^$F341*_p_days</f>
        <v>27000</v>
      </c>
      <c r="H341" s="64" cm="1">
        <f t="array" ref="H341">$E341*(IF($D341 = "x", 1/H$476, 1)*H337)^$F341*_p_days</f>
        <v>27000</v>
      </c>
      <c r="I341" s="64" cm="1">
        <f t="array" ref="I341">$E341*(IF($D341 = "x", 1/I$476, 1)*I337)^$F341*_p_days</f>
        <v>27000</v>
      </c>
      <c r="J341" s="64" cm="1">
        <f t="array" ref="J341">$E341*(IF($D341 = "x", 1/J$476, 1)*J337)^$F341*_p_days</f>
        <v>27000</v>
      </c>
      <c r="K341" s="64" cm="1">
        <f t="array" ref="K341">$E341*(IF($D341 = "x", 1/K$476, 1)*K337)^$F341*_p_days</f>
        <v>27000</v>
      </c>
      <c r="L341" s="64" cm="1">
        <f t="array" ref="L341">$E341*(IF($D341 = "x", 1/L$476, 1)*L337)^$F341*_p_days</f>
        <v>27000</v>
      </c>
      <c r="M341" s="64" cm="1">
        <f t="array" ref="M341">$E341*(IF($D341 = "x", 1/M$476, 1)*M337)^$F341*_p_days</f>
        <v>27000</v>
      </c>
      <c r="N341" s="44"/>
      <c r="O341" s="44"/>
      <c r="P341" s="44"/>
      <c r="R341" s="26"/>
      <c r="S341" s="71"/>
      <c r="T341" s="71"/>
      <c r="U341" s="71"/>
      <c r="V341" s="71"/>
      <c r="W341" s="71"/>
      <c r="X341" s="71"/>
    </row>
    <row r="342" spans="2:24" x14ac:dyDescent="0.15">
      <c r="C342" s="8" t="s">
        <v>1184</v>
      </c>
      <c r="D342" s="693"/>
      <c r="E342" s="104">
        <f>'Cost Input'!F273</f>
        <v>3100</v>
      </c>
      <c r="F342" s="1052">
        <f>'Cost Input'!G273</f>
        <v>0.8</v>
      </c>
      <c r="G342" s="64" cm="1">
        <f t="array" ref="G342">$E342*(IF($D342 = "x", 1/G$476, 1)*G337)^$F342*(G338/$E338)^$F338*_p_days</f>
        <v>3100</v>
      </c>
      <c r="H342" s="64" cm="1">
        <f t="array" ref="H342">$E342*(IF($D342 = "x", 1/H$476, 1)*H337)^$F342*(H338/$E338)^$F338*_p_days</f>
        <v>3100</v>
      </c>
      <c r="I342" s="64" cm="1">
        <f t="array" ref="I342">$E342*(IF($D342 = "x", 1/I$476, 1)*I337)^$F342*(I338/$E338)^$F338*_p_days</f>
        <v>3100</v>
      </c>
      <c r="J342" s="64" cm="1">
        <f t="array" ref="J342">$E342*(IF($D342 = "x", 1/J$476, 1)*J337)^$F342*(J338/$E338)^$F338*_p_days</f>
        <v>3100</v>
      </c>
      <c r="K342" s="64" cm="1">
        <f t="array" ref="K342">$E342*(IF($D342 = "x", 1/K$476, 1)*K337)^$F342*(K338/$E338)^$F338*_p_days</f>
        <v>3100</v>
      </c>
      <c r="L342" s="64" cm="1">
        <f t="array" ref="L342">$E342*(IF($D342 = "x", 1/L$476, 1)*L337)^$F342*(L338/$E338)^$F338*_p_days</f>
        <v>3100</v>
      </c>
      <c r="M342" s="64" cm="1">
        <f t="array" ref="M342">$E342*(IF($D342 = "x", 1/M$476, 1)*M337)^$F342*(M338/$E338)^$F338*_p_days</f>
        <v>3100</v>
      </c>
      <c r="N342" s="44"/>
      <c r="O342" s="44"/>
      <c r="P342" s="44"/>
      <c r="R342" s="26"/>
      <c r="S342" s="71"/>
      <c r="T342" s="71"/>
      <c r="U342" s="71"/>
      <c r="V342" s="71"/>
      <c r="W342" s="71"/>
      <c r="X342" s="71"/>
    </row>
    <row r="343" spans="2:24" ht="16" x14ac:dyDescent="0.2">
      <c r="B343" s="5"/>
      <c r="C343" s="26"/>
      <c r="D343" s="8"/>
      <c r="E343" s="104"/>
      <c r="F343" s="1051"/>
      <c r="G343" s="10"/>
      <c r="H343" s="10"/>
      <c r="I343" s="10"/>
      <c r="J343" s="10"/>
      <c r="K343" s="10"/>
      <c r="L343" s="10"/>
      <c r="M343" s="10"/>
      <c r="N343" s="44"/>
      <c r="O343" s="44"/>
      <c r="P343" s="44"/>
      <c r="R343" s="26"/>
      <c r="S343" s="71"/>
      <c r="T343" s="71"/>
      <c r="U343" s="71"/>
      <c r="V343" s="71"/>
      <c r="W343" s="71"/>
      <c r="X343" s="71"/>
    </row>
    <row r="344" spans="2:24" ht="16" x14ac:dyDescent="0.2">
      <c r="B344" s="5" t="s">
        <v>1208</v>
      </c>
      <c r="C344" s="26"/>
      <c r="D344" s="8"/>
      <c r="E344" s="104"/>
      <c r="F344" s="1051"/>
      <c r="G344" s="10"/>
      <c r="H344" s="10"/>
      <c r="I344" s="10"/>
      <c r="J344" s="10"/>
      <c r="K344" s="10"/>
      <c r="L344" s="10"/>
      <c r="M344" s="10"/>
      <c r="N344" s="44"/>
      <c r="O344" s="44"/>
      <c r="P344" s="44"/>
      <c r="R344" s="26"/>
      <c r="S344" s="71"/>
      <c r="T344" s="71"/>
      <c r="U344" s="71"/>
      <c r="V344" s="71"/>
      <c r="W344" s="71"/>
      <c r="X344" s="71"/>
    </row>
    <row r="345" spans="2:24" ht="14" x14ac:dyDescent="0.15">
      <c r="B345" s="507" t="s">
        <v>1209</v>
      </c>
      <c r="C345" s="26"/>
      <c r="D345" s="8"/>
      <c r="E345" s="104"/>
      <c r="F345" s="1051"/>
      <c r="G345" s="10"/>
      <c r="H345" s="10"/>
      <c r="I345" s="10"/>
      <c r="J345" s="10"/>
      <c r="K345" s="10"/>
      <c r="L345" s="10"/>
      <c r="M345" s="10"/>
      <c r="N345" s="44"/>
      <c r="O345" s="44"/>
      <c r="P345" s="44"/>
      <c r="R345" s="26"/>
      <c r="S345" s="71"/>
      <c r="T345" s="71"/>
      <c r="U345" s="71"/>
      <c r="V345" s="71"/>
      <c r="W345" s="71"/>
      <c r="X345" s="71"/>
    </row>
    <row r="346" spans="2:24" x14ac:dyDescent="0.15">
      <c r="C346" s="8" t="s">
        <v>1210</v>
      </c>
      <c r="D346" s="26"/>
      <c r="E346" s="104"/>
      <c r="F346" s="1051"/>
      <c r="G346" s="122">
        <f>G9/'Cost Input'!$F$341</f>
        <v>1</v>
      </c>
      <c r="H346" s="122">
        <f>H9/'Cost Input'!$F$341</f>
        <v>1</v>
      </c>
      <c r="I346" s="122">
        <f>I9/'Cost Input'!$F$341</f>
        <v>1</v>
      </c>
      <c r="J346" s="122">
        <f>J9/'Cost Input'!$F$341</f>
        <v>1</v>
      </c>
      <c r="K346" s="122">
        <f>K9/'Cost Input'!$F$341</f>
        <v>1</v>
      </c>
      <c r="L346" s="122">
        <f>L9/'Cost Input'!$F$341</f>
        <v>1</v>
      </c>
      <c r="M346" s="122">
        <f>M9/'Cost Input'!$F$341</f>
        <v>1</v>
      </c>
      <c r="N346" s="44"/>
      <c r="O346" s="44"/>
      <c r="P346" s="44"/>
      <c r="R346" s="26"/>
      <c r="S346" s="77"/>
      <c r="T346" s="77"/>
      <c r="U346" s="77"/>
      <c r="V346" s="77"/>
      <c r="W346" s="77"/>
      <c r="X346" s="77"/>
    </row>
    <row r="347" spans="2:24" x14ac:dyDescent="0.15">
      <c r="C347" s="8" t="s">
        <v>1211</v>
      </c>
      <c r="D347" s="8"/>
      <c r="E347" s="104">
        <f>'Cost Input'!F277</f>
        <v>20</v>
      </c>
      <c r="F347" s="1052">
        <f>'Cost Input'!G277</f>
        <v>0.3</v>
      </c>
      <c r="G347" s="121">
        <f>'Battery Design'!G29</f>
        <v>20</v>
      </c>
      <c r="H347" s="121">
        <f>'Battery Design'!H29</f>
        <v>20</v>
      </c>
      <c r="I347" s="121">
        <f>'Battery Design'!I29</f>
        <v>20</v>
      </c>
      <c r="J347" s="121">
        <f>'Battery Design'!J29</f>
        <v>20</v>
      </c>
      <c r="K347" s="121">
        <f>'Battery Design'!K29</f>
        <v>20</v>
      </c>
      <c r="L347" s="121">
        <f>'Battery Design'!L29</f>
        <v>20</v>
      </c>
      <c r="M347" s="121">
        <f>'Battery Design'!M29</f>
        <v>20</v>
      </c>
      <c r="N347" s="44"/>
      <c r="O347" s="44"/>
      <c r="P347" s="44"/>
      <c r="R347" s="26"/>
      <c r="S347" s="77"/>
      <c r="T347" s="77"/>
      <c r="U347" s="77"/>
      <c r="V347" s="77"/>
      <c r="W347" s="77"/>
      <c r="X347" s="77"/>
    </row>
    <row r="348" spans="2:24" x14ac:dyDescent="0.15">
      <c r="C348" s="8" t="s">
        <v>1173</v>
      </c>
      <c r="D348" s="476"/>
      <c r="E348" s="104">
        <f>'Cost Input'!F278</f>
        <v>170000</v>
      </c>
      <c r="F348" s="1052">
        <f>'Cost Input'!G278</f>
        <v>0.7</v>
      </c>
      <c r="G348" s="104">
        <f>$E348*G$346^$F348*(G347/$E347)^$F347</f>
        <v>170000</v>
      </c>
      <c r="H348" s="104">
        <f t="shared" ref="H348:M348" si="66">$E348*H$346^$F348*(H347/$E347)^$F347</f>
        <v>170000</v>
      </c>
      <c r="I348" s="104">
        <f t="shared" si="66"/>
        <v>170000</v>
      </c>
      <c r="J348" s="104">
        <f t="shared" si="66"/>
        <v>170000</v>
      </c>
      <c r="K348" s="104">
        <f t="shared" si="66"/>
        <v>170000</v>
      </c>
      <c r="L348" s="104">
        <f t="shared" si="66"/>
        <v>170000</v>
      </c>
      <c r="M348" s="104">
        <f t="shared" si="66"/>
        <v>170000</v>
      </c>
      <c r="N348" s="44"/>
      <c r="O348" s="44"/>
      <c r="P348" s="44"/>
      <c r="R348" s="26"/>
      <c r="S348" s="104"/>
      <c r="T348" s="104"/>
      <c r="U348" s="104"/>
      <c r="V348" s="104"/>
      <c r="W348" s="104"/>
      <c r="X348" s="104"/>
    </row>
    <row r="349" spans="2:24" x14ac:dyDescent="0.15">
      <c r="C349" s="8" t="s">
        <v>1174</v>
      </c>
      <c r="D349" s="693" t="str">
        <f>IF($E$474&gt;2, "x", "")</f>
        <v/>
      </c>
      <c r="E349" s="64">
        <f>'Cost Input'!F279</f>
        <v>86.48</v>
      </c>
      <c r="F349" s="1052">
        <f>'Cost Input'!G279</f>
        <v>0.95</v>
      </c>
      <c r="G349" s="116" cm="1">
        <f t="array" ref="G349">$E349*(IF($D349 = "x", 1/G$476, 1)*G$346)^$F349*(G347/$E347)^$F347*_p_days</f>
        <v>86.48</v>
      </c>
      <c r="H349" s="812" cm="1">
        <f t="array" ref="H349">$E349*(IF($D349 = "x", 1/H$476, 1)*H$346)^$F349*(H347/$E347)^$F347*_p_days</f>
        <v>86.48</v>
      </c>
      <c r="I349" s="812" cm="1">
        <f t="array" ref="I349">$E349*(IF($D349 = "x", 1/I$476, 1)*I$346)^$F349*(I347/$E347)^$F347*_p_days</f>
        <v>86.48</v>
      </c>
      <c r="J349" s="812" cm="1">
        <f t="array" ref="J349">$E349*(IF($D349 = "x", 1/J$476, 1)*J$346)^$F349*(J347/$E347)^$F347*_p_days</f>
        <v>86.48</v>
      </c>
      <c r="K349" s="812" cm="1">
        <f t="array" ref="K349">$E349*(IF($D349 = "x", 1/K$476, 1)*K$346)^$F349*(K347/$E347)^$F347*_p_days</f>
        <v>86.48</v>
      </c>
      <c r="L349" s="812" cm="1">
        <f t="array" ref="L349">$E349*(IF($D349 = "x", 1/L$476, 1)*L$346)^$F349*(L347/$E347)^$F347*_p_days</f>
        <v>86.48</v>
      </c>
      <c r="M349" s="812" cm="1">
        <f t="array" ref="M349">$E349*(IF($D349 = "x", 1/M$476, 1)*M$346)^$F349*(M347/$E347)^$F347*_p_days</f>
        <v>86.48</v>
      </c>
      <c r="N349" s="44"/>
      <c r="O349" s="371"/>
      <c r="P349" s="371"/>
      <c r="Q349" s="8"/>
      <c r="R349" s="26"/>
      <c r="S349" s="71"/>
      <c r="T349" s="71"/>
      <c r="U349" s="71"/>
      <c r="V349" s="71"/>
      <c r="W349" s="71"/>
      <c r="X349" s="71"/>
    </row>
    <row r="350" spans="2:24" ht="14" x14ac:dyDescent="0.2">
      <c r="C350" s="8" t="s">
        <v>1175</v>
      </c>
      <c r="D350" s="693" t="str">
        <f>IF($E$474&gt;1, "x", "")</f>
        <v/>
      </c>
      <c r="E350" s="104">
        <f>'Cost Input'!F280</f>
        <v>27000</v>
      </c>
      <c r="F350" s="1052">
        <f>'Cost Input'!G280</f>
        <v>0.95</v>
      </c>
      <c r="G350" s="104" cm="1">
        <f t="array" ref="G350">$E350*(IF($D350 = "x", 1/G$476, 1)*G$346)^$F350*_p_days</f>
        <v>27000</v>
      </c>
      <c r="H350" s="64" cm="1">
        <f t="array" ref="H350">$E350*(IF($D350 = "x", 1/H$476, 1)*H$346)^$F350*_p_days</f>
        <v>27000</v>
      </c>
      <c r="I350" s="64" cm="1">
        <f t="array" ref="I350">$E350*(IF($D350 = "x", 1/I$476, 1)*I$346)^$F350*_p_days</f>
        <v>27000</v>
      </c>
      <c r="J350" s="64" cm="1">
        <f t="array" ref="J350">$E350*(IF($D350 = "x", 1/J$476, 1)*J$346)^$F350*_p_days</f>
        <v>27000</v>
      </c>
      <c r="K350" s="64" cm="1">
        <f t="array" ref="K350">$E350*(IF($D350 = "x", 1/K$476, 1)*K$346)^$F350*_p_days</f>
        <v>27000</v>
      </c>
      <c r="L350" s="64" cm="1">
        <f t="array" ref="L350">$E350*(IF($D350 = "x", 1/L$476, 1)*L$346)^$F350*_p_days</f>
        <v>27000</v>
      </c>
      <c r="M350" s="64" cm="1">
        <f t="array" ref="M350">$E350*(IF($D350 = "x", 1/M$476, 1)*M$346)^$F350*_p_days</f>
        <v>27000</v>
      </c>
      <c r="N350" s="44"/>
      <c r="O350" s="44"/>
      <c r="P350" s="44"/>
      <c r="R350" s="26"/>
      <c r="S350" s="77"/>
      <c r="T350" s="77"/>
      <c r="U350" s="77"/>
      <c r="V350" s="77"/>
      <c r="W350" s="77"/>
      <c r="X350" s="77"/>
    </row>
    <row r="351" spans="2:24" x14ac:dyDescent="0.15">
      <c r="C351" s="8" t="s">
        <v>1184</v>
      </c>
      <c r="D351" s="693"/>
      <c r="E351" s="104">
        <f>'Cost Input'!F281</f>
        <v>2700</v>
      </c>
      <c r="F351" s="1052">
        <f>'Cost Input'!G281</f>
        <v>0.8</v>
      </c>
      <c r="G351" s="116" cm="1">
        <f t="array" ref="G351">$E351*(IF($D351 = "x", 1/G$476, 1)*G$346)^$F351*(G347/$E347)^$F347*_p_days</f>
        <v>2700</v>
      </c>
      <c r="H351" s="116" cm="1">
        <f t="array" ref="H351">$E351*(IF($D351 = "x", 1/H$476, 1)*H$346)^$F351*(H347/$E347)^$F347*_p_days</f>
        <v>2700</v>
      </c>
      <c r="I351" s="116" cm="1">
        <f t="array" ref="I351">$E351*(IF($D351 = "x", 1/I$476, 1)*I$346)^$F351*(I347/$E347)^$F347*_p_days</f>
        <v>2700</v>
      </c>
      <c r="J351" s="116" cm="1">
        <f t="array" ref="J351">$E351*(IF($D351 = "x", 1/J$476, 1)*J$346)^$F351*(J347/$E347)^$F347*_p_days</f>
        <v>2700</v>
      </c>
      <c r="K351" s="116" cm="1">
        <f t="array" ref="K351">$E351*(IF($D351 = "x", 1/K$476, 1)*K$346)^$F351*(K347/$E347)^$F347*_p_days</f>
        <v>2700</v>
      </c>
      <c r="L351" s="116" cm="1">
        <f t="array" ref="L351">$E351*(IF($D351 = "x", 1/L$476, 1)*L$346)^$F351*(L347/$E347)^$F347*_p_days</f>
        <v>2700</v>
      </c>
      <c r="M351" s="116" cm="1">
        <f t="array" ref="M351">$E351*(IF($D351 = "x", 1/M$476, 1)*M$346)^$F351*(M347/$E347)^$F347*_p_days</f>
        <v>2700</v>
      </c>
      <c r="N351" s="44"/>
      <c r="O351" s="44"/>
      <c r="P351" s="44"/>
      <c r="R351" s="26"/>
      <c r="S351" s="77"/>
      <c r="T351" s="77"/>
      <c r="U351" s="77"/>
      <c r="V351" s="77"/>
      <c r="W351" s="77"/>
      <c r="X351" s="77"/>
    </row>
    <row r="352" spans="2:24" x14ac:dyDescent="0.15">
      <c r="C352" s="8"/>
      <c r="D352" s="46"/>
      <c r="E352" s="104"/>
      <c r="F352" s="1051"/>
      <c r="G352" s="104"/>
      <c r="H352" s="104"/>
      <c r="I352" s="104"/>
      <c r="J352" s="104"/>
      <c r="K352" s="104"/>
      <c r="L352" s="104"/>
      <c r="M352" s="104"/>
      <c r="N352" s="44"/>
      <c r="O352" s="44"/>
      <c r="P352" s="44"/>
      <c r="R352" s="26"/>
      <c r="S352" s="77"/>
      <c r="T352" s="77"/>
      <c r="U352" s="77"/>
      <c r="V352" s="77"/>
      <c r="W352" s="77"/>
      <c r="X352" s="77"/>
    </row>
    <row r="353" spans="2:24" ht="16" x14ac:dyDescent="0.2">
      <c r="B353" s="5" t="s">
        <v>1212</v>
      </c>
      <c r="C353" s="8"/>
      <c r="E353" s="104"/>
      <c r="F353" s="1051"/>
      <c r="G353" s="104"/>
      <c r="H353" s="104"/>
      <c r="I353" s="104"/>
      <c r="J353" s="104"/>
      <c r="K353" s="104"/>
      <c r="L353" s="104"/>
      <c r="M353" s="104"/>
      <c r="N353" s="44"/>
      <c r="O353" s="44"/>
      <c r="P353" s="44"/>
      <c r="R353" s="160"/>
      <c r="S353" s="161"/>
      <c r="T353" s="161"/>
      <c r="U353" s="77"/>
      <c r="V353" s="77"/>
      <c r="W353" s="77"/>
      <c r="X353" s="77"/>
    </row>
    <row r="354" spans="2:24" ht="14" x14ac:dyDescent="0.15">
      <c r="B354" s="507" t="s">
        <v>1213</v>
      </c>
      <c r="C354" s="8"/>
      <c r="E354" s="104"/>
      <c r="F354" s="1051"/>
      <c r="G354" s="104"/>
      <c r="H354" s="104"/>
      <c r="I354" s="104"/>
      <c r="J354" s="104"/>
      <c r="K354" s="104"/>
      <c r="L354" s="104"/>
      <c r="M354" s="104"/>
      <c r="N354" s="44"/>
      <c r="O354" s="44"/>
      <c r="P354" s="44"/>
      <c r="R354" s="160"/>
      <c r="S354" s="161"/>
      <c r="T354" s="161"/>
      <c r="U354" s="77"/>
      <c r="V354" s="77"/>
      <c r="W354" s="77"/>
      <c r="X354" s="77"/>
    </row>
    <row r="355" spans="2:24" x14ac:dyDescent="0.15">
      <c r="C355" s="8" t="s">
        <v>1214</v>
      </c>
      <c r="D355" s="8"/>
      <c r="E355" s="10"/>
      <c r="F355" s="1051"/>
      <c r="G355" s="1139">
        <f ca="1">(G13+IF(_manufact_method&gt;1,2*G8,0))/'Cost Input'!$F$340/IF(_manufact_method&gt;1, 3, 1)</f>
        <v>1.0000000000001776</v>
      </c>
      <c r="H355" s="1139">
        <f ca="1">(H13+IF(_manufact_method&gt;1,2*H8,0))/'Cost Input'!$F$340/IF(_manufact_method&gt;1, 3, 1)</f>
        <v>1.0000000000001776</v>
      </c>
      <c r="I355" s="1139">
        <f ca="1">(I13+IF(_manufact_method&gt;1,2*I8,0))/'Cost Input'!$F$340/IF(_manufact_method&gt;1, 3, 1)</f>
        <v>1.0000000000001776</v>
      </c>
      <c r="J355" s="1139">
        <f ca="1">(J13+IF(_manufact_method&gt;1,2*J8,0))/'Cost Input'!$F$340/IF(_manufact_method&gt;1, 3, 1)</f>
        <v>1.0000000000001776</v>
      </c>
      <c r="K355" s="1139">
        <f ca="1">(K13+IF(_manufact_method&gt;1,2*K8,0))/'Cost Input'!$F$340/IF(_manufact_method&gt;1, 3, 1)</f>
        <v>1.0000000000001776</v>
      </c>
      <c r="L355" s="1139">
        <f ca="1">(L13+IF(_manufact_method&gt;1,2*L8,0))/'Cost Input'!$F$340/IF(_manufact_method&gt;1, 3, 1)</f>
        <v>1.0000000000001776</v>
      </c>
      <c r="M355" s="1139">
        <f ca="1">(M13+IF(_manufact_method&gt;1,2*M8,0))/'Cost Input'!$F$340/IF(_manufact_method&gt;1, 3, 1)</f>
        <v>1.0000000000001776</v>
      </c>
      <c r="N355" s="1100">
        <f>(N13+IF(_manufact_method&gt;1,2*N8,0))/'Cost Input'!$F$340/IF(_manufact_method&gt;1, 3, 1)</f>
        <v>0</v>
      </c>
    </row>
    <row r="356" spans="2:24" x14ac:dyDescent="0.15">
      <c r="C356" s="8" t="s">
        <v>1173</v>
      </c>
      <c r="D356" s="476"/>
      <c r="E356" s="110">
        <f>'Cost Input'!F286</f>
        <v>13000</v>
      </c>
      <c r="F356" s="1054">
        <f>'Cost Input'!G286</f>
        <v>0.7</v>
      </c>
      <c r="G356" s="104">
        <f t="shared" ref="G356:M356" ca="1" si="67">$E356*(IF($D356 = "x", 1/G$476, 1)*G355)^$F356</f>
        <v>13000.000000001617</v>
      </c>
      <c r="H356" s="104">
        <f t="shared" ca="1" si="67"/>
        <v>13000.000000001617</v>
      </c>
      <c r="I356" s="104">
        <f t="shared" ca="1" si="67"/>
        <v>13000.000000001617</v>
      </c>
      <c r="J356" s="104">
        <f t="shared" ca="1" si="67"/>
        <v>13000.000000001617</v>
      </c>
      <c r="K356" s="104">
        <f t="shared" ca="1" si="67"/>
        <v>13000.000000001617</v>
      </c>
      <c r="L356" s="104">
        <f t="shared" ca="1" si="67"/>
        <v>13000.000000001617</v>
      </c>
      <c r="M356" s="104">
        <f t="shared" ca="1" si="67"/>
        <v>13000.000000001617</v>
      </c>
      <c r="N356" s="36"/>
      <c r="O356" s="44"/>
    </row>
    <row r="357" spans="2:24" x14ac:dyDescent="0.15">
      <c r="C357" s="8" t="s">
        <v>1174</v>
      </c>
      <c r="D357" s="693" t="str">
        <f>IF($E$474&gt;2, "x", "")</f>
        <v/>
      </c>
      <c r="E357" s="110">
        <f>'Cost Input'!F287</f>
        <v>170</v>
      </c>
      <c r="F357" s="1054">
        <f>'Cost Input'!G287</f>
        <v>0.95</v>
      </c>
      <c r="G357" s="116" cm="1">
        <f t="array" aca="1" ref="G357" ca="1">$E357*(IF($D357 = "x", 1/G$476, 1)*G355)^$F357*_p_days</f>
        <v>170.00000000002868</v>
      </c>
      <c r="H357" s="116" cm="1">
        <f t="array" aca="1" ref="H357" ca="1">$E357*(IF($D357 = "x", 1/H$476, 1)*H355)^$F357*_p_days</f>
        <v>170.00000000002868</v>
      </c>
      <c r="I357" s="116" cm="1">
        <f t="array" aca="1" ref="I357" ca="1">$E357*(IF($D357 = "x", 1/I$476, 1)*I355)^$F357*_p_days</f>
        <v>170.00000000002868</v>
      </c>
      <c r="J357" s="116" cm="1">
        <f t="array" aca="1" ref="J357" ca="1">$E357*(IF($D357 = "x", 1/J$476, 1)*J355)^$F357*_p_days</f>
        <v>170.00000000002868</v>
      </c>
      <c r="K357" s="116" cm="1">
        <f t="array" aca="1" ref="K357" ca="1">$E357*(IF($D357 = "x", 1/K$476, 1)*K355)^$F357*_p_days</f>
        <v>170.00000000002868</v>
      </c>
      <c r="L357" s="116" cm="1">
        <f t="array" aca="1" ref="L357" ca="1">$E357*(IF($D357 = "x", 1/L$476, 1)*L355)^$F357*_p_days</f>
        <v>170.00000000002868</v>
      </c>
      <c r="M357" s="116" cm="1">
        <f t="array" aca="1" ref="M357" ca="1">$E357*(IF($D357 = "x", 1/M$476, 1)*M355)^$F357*_p_days</f>
        <v>170.00000000002868</v>
      </c>
      <c r="O357" s="44"/>
    </row>
    <row r="358" spans="2:24" ht="14" x14ac:dyDescent="0.2">
      <c r="C358" s="8" t="s">
        <v>1175</v>
      </c>
      <c r="D358" s="693" t="str">
        <f>IF($E$474&gt;1, "x", "")</f>
        <v/>
      </c>
      <c r="E358" s="110">
        <f>'Cost Input'!F288</f>
        <v>10000</v>
      </c>
      <c r="F358" s="1054">
        <f>'Cost Input'!G288</f>
        <v>0.95</v>
      </c>
      <c r="G358" s="104" cm="1">
        <f t="array" aca="1" ref="G358" ca="1">$E358*(IF($D358 = "x", 1/G$476, 1)*G355)^$F358*_p_days</f>
        <v>10000.000000001688</v>
      </c>
      <c r="H358" s="104" cm="1">
        <f t="array" aca="1" ref="H358" ca="1">$E358*(IF($D358 = "x", 1/H$476, 1)*H355)^$F358*_p_days</f>
        <v>10000.000000001688</v>
      </c>
      <c r="I358" s="104" cm="1">
        <f t="array" aca="1" ref="I358" ca="1">$E358*(IF($D358 = "x", 1/I$476, 1)*I355)^$F358*_p_days</f>
        <v>10000.000000001688</v>
      </c>
      <c r="J358" s="104" cm="1">
        <f t="array" aca="1" ref="J358" ca="1">$E358*(IF($D358 = "x", 1/J$476, 1)*J355)^$F358*_p_days</f>
        <v>10000.000000001688</v>
      </c>
      <c r="K358" s="104" cm="1">
        <f t="array" aca="1" ref="K358" ca="1">$E358*(IF($D358 = "x", 1/K$476, 1)*K355)^$F358*_p_days</f>
        <v>10000.000000001688</v>
      </c>
      <c r="L358" s="104" cm="1">
        <f t="array" aca="1" ref="L358" ca="1">$E358*(IF($D358 = "x", 1/L$476, 1)*L355)^$F358*_p_days</f>
        <v>10000.000000001688</v>
      </c>
      <c r="M358" s="104" cm="1">
        <f t="array" aca="1" ref="M358" ca="1">$E358*(IF($D358 = "x", 1/M$476, 1)*M355)^$F358*_p_days</f>
        <v>10000.000000001688</v>
      </c>
      <c r="O358" s="44"/>
    </row>
    <row r="359" spans="2:24" x14ac:dyDescent="0.15">
      <c r="C359" s="8" t="s">
        <v>1184</v>
      </c>
      <c r="D359" s="693"/>
      <c r="E359" s="110">
        <f>'Cost Input'!F289</f>
        <v>7700</v>
      </c>
      <c r="F359" s="1054">
        <f>'Cost Input'!G289</f>
        <v>1</v>
      </c>
      <c r="G359" s="104" cm="1">
        <f t="array" aca="1" ref="G359" ca="1">$E359*(IF($D359 = "x", 1/G$476, 1)*G355)^$F359*_p_days</f>
        <v>7700.0000000013679</v>
      </c>
      <c r="H359" s="104" cm="1">
        <f t="array" aca="1" ref="H359" ca="1">$E359*(IF($D359 = "x", 1/H$476, 1)*H355)^$F359*_p_days</f>
        <v>7700.0000000013679</v>
      </c>
      <c r="I359" s="104" cm="1">
        <f t="array" aca="1" ref="I359" ca="1">$E359*(IF($D359 = "x", 1/I$476, 1)*I355)^$F359*_p_days</f>
        <v>7700.0000000013679</v>
      </c>
      <c r="J359" s="104" cm="1">
        <f t="array" aca="1" ref="J359" ca="1">$E359*(IF($D359 = "x", 1/J$476, 1)*J355)^$F359*_p_days</f>
        <v>7700.0000000013679</v>
      </c>
      <c r="K359" s="104" cm="1">
        <f t="array" aca="1" ref="K359" ca="1">$E359*(IF($D359 = "x", 1/K$476, 1)*K355)^$F359*_p_days</f>
        <v>7700.0000000013679</v>
      </c>
      <c r="L359" s="104" cm="1">
        <f t="array" aca="1" ref="L359" ca="1">$E359*(IF($D359 = "x", 1/L$476, 1)*L355)^$F359*_p_days</f>
        <v>7700.0000000013679</v>
      </c>
      <c r="M359" s="104" cm="1">
        <f t="array" aca="1" ref="M359" ca="1">$E359*(IF($D359 = "x", 1/M$476, 1)*M355)^$F359*_p_days</f>
        <v>7700.0000000013679</v>
      </c>
      <c r="O359" s="44"/>
    </row>
    <row r="360" spans="2:24" x14ac:dyDescent="0.15">
      <c r="C360" s="8"/>
      <c r="D360" s="46"/>
      <c r="E360" s="104"/>
      <c r="F360" s="1051"/>
      <c r="G360" s="104"/>
      <c r="H360" s="104"/>
      <c r="I360" s="104"/>
      <c r="J360" s="104"/>
      <c r="K360" s="104"/>
      <c r="L360" s="104"/>
      <c r="M360" s="104"/>
      <c r="N360" s="44"/>
      <c r="O360" s="44"/>
      <c r="P360" s="44"/>
      <c r="R360" s="26"/>
      <c r="S360" s="77"/>
      <c r="T360" s="77"/>
      <c r="U360" s="77"/>
      <c r="V360" s="77"/>
      <c r="W360" s="77"/>
      <c r="X360" s="77"/>
    </row>
    <row r="361" spans="2:24" ht="16" x14ac:dyDescent="0.2">
      <c r="B361" s="5" t="s">
        <v>1215</v>
      </c>
      <c r="E361" s="81"/>
      <c r="F361" s="1053"/>
    </row>
    <row r="362" spans="2:24" ht="14" x14ac:dyDescent="0.15">
      <c r="B362" s="507" t="s">
        <v>1216</v>
      </c>
      <c r="E362" s="110"/>
      <c r="F362" s="1054"/>
      <c r="G362" s="104"/>
      <c r="H362" s="104"/>
      <c r="I362" s="104"/>
      <c r="J362" s="104"/>
      <c r="K362" s="104"/>
      <c r="L362" s="104"/>
      <c r="M362" s="104"/>
    </row>
    <row r="363" spans="2:24" x14ac:dyDescent="0.15">
      <c r="C363" s="8" t="s">
        <v>1217</v>
      </c>
      <c r="E363" s="110"/>
      <c r="F363" s="1054"/>
      <c r="G363" s="117">
        <f ca="1">G99/'Cost Input'!$F352</f>
        <v>1.2029562763719086</v>
      </c>
      <c r="H363" s="117">
        <f ca="1">H99/'Cost Input'!$F352</f>
        <v>1.2029562763719086</v>
      </c>
      <c r="I363" s="117">
        <f ca="1">I99/'Cost Input'!$F352</f>
        <v>1.2029562763719086</v>
      </c>
      <c r="J363" s="117">
        <f ca="1">J99/'Cost Input'!$F352</f>
        <v>1.2029562763719086</v>
      </c>
      <c r="K363" s="117">
        <f ca="1">K99/'Cost Input'!$F352</f>
        <v>1.2029562763719086</v>
      </c>
      <c r="L363" s="117">
        <f ca="1">L99/'Cost Input'!$F352</f>
        <v>1.2029562763719086</v>
      </c>
      <c r="M363" s="117">
        <f ca="1">M99/'Cost Input'!$F352</f>
        <v>1.2029562763719086</v>
      </c>
    </row>
    <row r="364" spans="2:24" x14ac:dyDescent="0.15">
      <c r="C364" s="8" t="s">
        <v>1173</v>
      </c>
      <c r="D364" s="476"/>
      <c r="E364" s="110">
        <f>'Cost Input'!F294</f>
        <v>14000</v>
      </c>
      <c r="F364" s="1052">
        <f>'Cost Input'!G294</f>
        <v>0.7</v>
      </c>
      <c r="G364" s="104">
        <f t="shared" ref="G364:M364" ca="1" si="68">$E364*(IF($D364 = "x", 1/G$476, 1)*G363)^$F364</f>
        <v>15933.196982397532</v>
      </c>
      <c r="H364" s="104">
        <f t="shared" ca="1" si="68"/>
        <v>15933.196982397532</v>
      </c>
      <c r="I364" s="104">
        <f t="shared" ca="1" si="68"/>
        <v>15933.196982397532</v>
      </c>
      <c r="J364" s="104">
        <f t="shared" ca="1" si="68"/>
        <v>15933.196982397532</v>
      </c>
      <c r="K364" s="104">
        <f t="shared" ca="1" si="68"/>
        <v>15933.196982397532</v>
      </c>
      <c r="L364" s="104">
        <f t="shared" ca="1" si="68"/>
        <v>15933.196982397532</v>
      </c>
      <c r="M364" s="104">
        <f t="shared" ca="1" si="68"/>
        <v>15933.196982397532</v>
      </c>
    </row>
    <row r="365" spans="2:24" x14ac:dyDescent="0.15">
      <c r="C365" s="8" t="s">
        <v>1174</v>
      </c>
      <c r="D365" s="693" t="str">
        <f>IF($E$474&gt;2, "x", "")</f>
        <v/>
      </c>
      <c r="E365" s="810">
        <f>'Cost Input'!F295</f>
        <v>24.65</v>
      </c>
      <c r="F365" s="1052">
        <f>'Cost Input'!G295</f>
        <v>0.95</v>
      </c>
      <c r="G365" s="116" cm="1">
        <f t="array" aca="1" ref="G365" ca="1">$E365*(IF($D365 = "x", 1/G$476, 1)*G363)^$F365*_p_days</f>
        <v>29.380167937736196</v>
      </c>
      <c r="H365" s="116" cm="1">
        <f t="array" aca="1" ref="H365" ca="1">$E365*(IF($D365 = "x", 1/H$476, 1)*H363)^$F365*_p_days</f>
        <v>29.380167937736196</v>
      </c>
      <c r="I365" s="116" cm="1">
        <f t="array" aca="1" ref="I365" ca="1">$E365*(IF($D365 = "x", 1/I$476, 1)*I363)^$F365*_p_days</f>
        <v>29.380167937736196</v>
      </c>
      <c r="J365" s="116" cm="1">
        <f t="array" aca="1" ref="J365" ca="1">$E365*(IF($D365 = "x", 1/J$476, 1)*J363)^$F365*_p_days</f>
        <v>29.380167937736196</v>
      </c>
      <c r="K365" s="116" cm="1">
        <f t="array" aca="1" ref="K365" ca="1">$E365*(IF($D365 = "x", 1/K$476, 1)*K363)^$F365*_p_days</f>
        <v>29.380167937736196</v>
      </c>
      <c r="L365" s="116" cm="1">
        <f t="array" aca="1" ref="L365" ca="1">$E365*(IF($D365 = "x", 1/L$476, 1)*L363)^$F365*_p_days</f>
        <v>29.380167937736196</v>
      </c>
      <c r="M365" s="116" cm="1">
        <f t="array" aca="1" ref="M365" ca="1">$E365*(IF($D365 = "x", 1/M$476, 1)*M363)^$F365*_p_days</f>
        <v>29.380167937736196</v>
      </c>
    </row>
    <row r="366" spans="2:24" ht="14" x14ac:dyDescent="0.2">
      <c r="C366" s="8" t="s">
        <v>1175</v>
      </c>
      <c r="D366" s="693" t="str">
        <f>IF($E$474&gt;1, "x", "")</f>
        <v/>
      </c>
      <c r="E366" s="110">
        <f>'Cost Input'!F296</f>
        <v>900</v>
      </c>
      <c r="F366" s="1052">
        <f>'Cost Input'!G296</f>
        <v>0.95</v>
      </c>
      <c r="G366" s="104" cm="1">
        <f t="array" aca="1" ref="G366" ca="1">$E366*(IF($D366 = "x", 1/G$476, 1)*G363)^$F366*_p_days</f>
        <v>1072.7039003635934</v>
      </c>
      <c r="H366" s="104" cm="1">
        <f t="array" aca="1" ref="H366" ca="1">$E366*(IF($D366 = "x", 1/H$476, 1)*H363)^$F366*_p_days</f>
        <v>1072.7039003635934</v>
      </c>
      <c r="I366" s="104" cm="1">
        <f t="array" aca="1" ref="I366" ca="1">$E366*(IF($D366 = "x", 1/I$476, 1)*I363)^$F366*_p_days</f>
        <v>1072.7039003635934</v>
      </c>
      <c r="J366" s="104" cm="1">
        <f t="array" aca="1" ref="J366" ca="1">$E366*(IF($D366 = "x", 1/J$476, 1)*J363)^$F366*_p_days</f>
        <v>1072.7039003635934</v>
      </c>
      <c r="K366" s="104" cm="1">
        <f t="array" aca="1" ref="K366" ca="1">$E366*(IF($D366 = "x", 1/K$476, 1)*K363)^$F366*_p_days</f>
        <v>1072.7039003635934</v>
      </c>
      <c r="L366" s="104" cm="1">
        <f t="array" aca="1" ref="L366" ca="1">$E366*(IF($D366 = "x", 1/L$476, 1)*L363)^$F366*_p_days</f>
        <v>1072.7039003635934</v>
      </c>
      <c r="M366" s="104" cm="1">
        <f t="array" aca="1" ref="M366" ca="1">$E366*(IF($D366 = "x", 1/M$476, 1)*M363)^$F366*_p_days</f>
        <v>1072.7039003635934</v>
      </c>
      <c r="O366" s="44"/>
    </row>
    <row r="367" spans="2:24" x14ac:dyDescent="0.15">
      <c r="C367" s="8" t="s">
        <v>1184</v>
      </c>
      <c r="D367" s="693"/>
      <c r="E367" s="110">
        <f>'Cost Input'!F297</f>
        <v>800</v>
      </c>
      <c r="F367" s="1052">
        <f>'Cost Input'!G297</f>
        <v>0.7</v>
      </c>
      <c r="G367" s="104" cm="1">
        <f t="array" aca="1" ref="G367" ca="1">$E367*(IF($D367 = "x", 1/G$476, 1)*G363)^$F367*_p_days</f>
        <v>910.46839899414476</v>
      </c>
      <c r="H367" s="104" cm="1">
        <f t="array" aca="1" ref="H367" ca="1">$E367*(IF($D367 = "x", 1/H$476, 1)*H363)^$F367*_p_days</f>
        <v>910.46839899414476</v>
      </c>
      <c r="I367" s="104" cm="1">
        <f t="array" aca="1" ref="I367" ca="1">$E367*(IF($D367 = "x", 1/I$476, 1)*I363)^$F367*_p_days</f>
        <v>910.46839899414476</v>
      </c>
      <c r="J367" s="104" cm="1">
        <f t="array" aca="1" ref="J367" ca="1">$E367*(IF($D367 = "x", 1/J$476, 1)*J363)^$F367*_p_days</f>
        <v>910.46839899414476</v>
      </c>
      <c r="K367" s="104" cm="1">
        <f t="array" aca="1" ref="K367" ca="1">$E367*(IF($D367 = "x", 1/K$476, 1)*K363)^$F367*_p_days</f>
        <v>910.46839899414476</v>
      </c>
      <c r="L367" s="104" cm="1">
        <f t="array" aca="1" ref="L367" ca="1">$E367*(IF($D367 = "x", 1/L$476, 1)*L363)^$F367*_p_days</f>
        <v>910.46839899414476</v>
      </c>
      <c r="M367" s="104" cm="1">
        <f t="array" aca="1" ref="M367" ca="1">$E367*(IF($D367 = "x", 1/M$476, 1)*M363)^$F367*_p_days</f>
        <v>910.46839899414476</v>
      </c>
      <c r="O367" s="44"/>
    </row>
    <row r="368" spans="2:24" x14ac:dyDescent="0.15">
      <c r="F368" s="1055"/>
      <c r="N368" s="44"/>
      <c r="O368" s="44"/>
      <c r="P368" s="44"/>
    </row>
    <row r="369" spans="2:24" ht="14" x14ac:dyDescent="0.15">
      <c r="B369" s="507" t="s">
        <v>1218</v>
      </c>
      <c r="C369" s="8"/>
      <c r="D369" s="8"/>
      <c r="E369" s="104"/>
      <c r="F369" s="1051"/>
      <c r="N369" s="44"/>
      <c r="O369" s="44"/>
      <c r="P369" s="44"/>
      <c r="R369" s="26"/>
      <c r="S369" s="77"/>
      <c r="T369" s="77"/>
      <c r="U369" s="77"/>
      <c r="V369" s="77"/>
      <c r="W369" s="77"/>
      <c r="X369" s="77"/>
    </row>
    <row r="370" spans="2:24" x14ac:dyDescent="0.15">
      <c r="C370" s="8" t="s">
        <v>1193</v>
      </c>
      <c r="D370" s="26"/>
      <c r="E370" s="104"/>
      <c r="F370" s="1051"/>
      <c r="G370" s="24">
        <f>(1-Dashboard!$D115/100)/Dashboard!$D115*100*G15/(100-Dashboard!$D115)*Dashboard!$D115/'Cost Input'!$F347</f>
        <v>0.99775505113494711</v>
      </c>
      <c r="H370" s="24">
        <f>(1-Dashboard!$D115/100)/Dashboard!$D115*100*H15/(100-Dashboard!$D115)*Dashboard!$D115/'Cost Input'!$F347</f>
        <v>0.99775505113494711</v>
      </c>
      <c r="I370" s="24">
        <f>(1-Dashboard!$D115/100)/Dashboard!$D115*100*I15/(100-Dashboard!$D115)*Dashboard!$D115/'Cost Input'!$F347</f>
        <v>0.99775505113494711</v>
      </c>
      <c r="J370" s="24">
        <f>(1-Dashboard!$D115/100)/Dashboard!$D115*100*J15/(100-Dashboard!$D115)*Dashboard!$D115/'Cost Input'!$F347</f>
        <v>0.99775505113494711</v>
      </c>
      <c r="K370" s="24">
        <f>(1-Dashboard!$D115/100)/Dashboard!$D115*100*K15/(100-Dashboard!$D115)*Dashboard!$D115/'Cost Input'!$F347</f>
        <v>0.99775505113494711</v>
      </c>
      <c r="L370" s="24">
        <f>(1-Dashboard!$D115/100)/Dashboard!$D115*100*L15/(100-Dashboard!$D115)*Dashboard!$D115/'Cost Input'!$F347</f>
        <v>0.99775505113494711</v>
      </c>
      <c r="M370" s="24">
        <f>(1-Dashboard!$D115/100)/Dashboard!$D115*100*M15/(100-Dashboard!$D115)*Dashboard!$D115/'Cost Input'!$F347</f>
        <v>0.99775505113494711</v>
      </c>
      <c r="N370" s="44"/>
      <c r="O370" s="44"/>
      <c r="P370" s="44"/>
      <c r="R370" s="26"/>
      <c r="S370" s="77"/>
      <c r="T370" s="77"/>
      <c r="U370" s="77"/>
      <c r="V370" s="77"/>
      <c r="W370" s="77"/>
      <c r="X370" s="77"/>
    </row>
    <row r="371" spans="2:24" x14ac:dyDescent="0.15">
      <c r="C371" s="8" t="s">
        <v>1173</v>
      </c>
      <c r="D371" s="476"/>
      <c r="E371" s="104">
        <f>'Cost Input'!F301</f>
        <v>38000</v>
      </c>
      <c r="F371" s="1052">
        <f>'Cost Input'!G301</f>
        <v>0.7</v>
      </c>
      <c r="G371" s="104">
        <f t="shared" ref="G371:M371" si="69">$E371*(IF($D371 = "x", 1/G$476, 1)*G370)^$F371</f>
        <v>37940.264231818583</v>
      </c>
      <c r="H371" s="104">
        <f t="shared" si="69"/>
        <v>37940.264231818583</v>
      </c>
      <c r="I371" s="104">
        <f t="shared" si="69"/>
        <v>37940.264231818583</v>
      </c>
      <c r="J371" s="104">
        <f t="shared" si="69"/>
        <v>37940.264231818583</v>
      </c>
      <c r="K371" s="104">
        <f t="shared" si="69"/>
        <v>37940.264231818583</v>
      </c>
      <c r="L371" s="104">
        <f t="shared" si="69"/>
        <v>37940.264231818583</v>
      </c>
      <c r="M371" s="104">
        <f t="shared" si="69"/>
        <v>37940.264231818583</v>
      </c>
      <c r="N371" s="44"/>
      <c r="O371" s="44"/>
      <c r="P371" s="44"/>
      <c r="R371" s="26"/>
      <c r="S371" s="77"/>
      <c r="T371" s="77"/>
      <c r="U371" s="77"/>
      <c r="V371" s="77"/>
      <c r="W371" s="77"/>
      <c r="X371" s="77"/>
    </row>
    <row r="372" spans="2:24" x14ac:dyDescent="0.15">
      <c r="C372" s="8" t="s">
        <v>1174</v>
      </c>
      <c r="D372" s="693" t="str">
        <f>IF($E$474&gt;2, "x", "")</f>
        <v/>
      </c>
      <c r="E372" s="64">
        <f>'Cost Input'!F302</f>
        <v>7.9050000000000002</v>
      </c>
      <c r="F372" s="1052">
        <f>'Cost Input'!G302</f>
        <v>0.9</v>
      </c>
      <c r="G372" s="116" cm="1">
        <f t="array" ref="G372">$E372*(IF($D372 = "x", 1/G$476, 1)*G370)^$F372*_p_days</f>
        <v>7.889026517040894</v>
      </c>
      <c r="H372" s="116" cm="1">
        <f t="array" ref="H372">$E372*(IF($D372 = "x", 1/H$476, 1)*H370)^$F372*_p_days</f>
        <v>7.889026517040894</v>
      </c>
      <c r="I372" s="116" cm="1">
        <f t="array" ref="I372">$E372*(IF($D372 = "x", 1/I$476, 1)*I370)^$F372*_p_days</f>
        <v>7.889026517040894</v>
      </c>
      <c r="J372" s="116" cm="1">
        <f t="array" ref="J372">$E372*(IF($D372 = "x", 1/J$476, 1)*J370)^$F372*_p_days</f>
        <v>7.889026517040894</v>
      </c>
      <c r="K372" s="116" cm="1">
        <f t="array" ref="K372">$E372*(IF($D372 = "x", 1/K$476, 1)*K370)^$F372*_p_days</f>
        <v>7.889026517040894</v>
      </c>
      <c r="L372" s="116" cm="1">
        <f t="array" ref="L372">$E372*(IF($D372 = "x", 1/L$476, 1)*L370)^$F372*_p_days</f>
        <v>7.889026517040894</v>
      </c>
      <c r="M372" s="116" cm="1">
        <f t="array" ref="M372">$E372*(IF($D372 = "x", 1/M$476, 1)*M370)^$F372*_p_days</f>
        <v>7.889026517040894</v>
      </c>
      <c r="N372" s="44"/>
      <c r="O372" s="44"/>
      <c r="P372" s="44"/>
      <c r="R372" s="26"/>
      <c r="S372" s="77"/>
      <c r="T372" s="77"/>
      <c r="U372" s="77"/>
      <c r="V372" s="77"/>
      <c r="W372" s="77"/>
      <c r="X372" s="77"/>
    </row>
    <row r="373" spans="2:24" ht="14" x14ac:dyDescent="0.2">
      <c r="C373" s="8" t="s">
        <v>1175</v>
      </c>
      <c r="D373" s="693" t="str">
        <f>IF($E$474&gt;1, "x", "")</f>
        <v/>
      </c>
      <c r="E373" s="104">
        <f>'Cost Input'!F303</f>
        <v>3300</v>
      </c>
      <c r="F373" s="1052">
        <f>'Cost Input'!G303</f>
        <v>0.95</v>
      </c>
      <c r="G373" s="104" cm="1">
        <f t="array" ref="G373">$E373*(IF($D373 = "x", 1/G$476, 1)*G370)^$F373*_p_days</f>
        <v>3292.961690003377</v>
      </c>
      <c r="H373" s="104" cm="1">
        <f t="array" ref="H373">$E373*(IF($D373 = "x", 1/H$476, 1)*H370)^$F373*_p_days</f>
        <v>3292.961690003377</v>
      </c>
      <c r="I373" s="104" cm="1">
        <f t="array" ref="I373">$E373*(IF($D373 = "x", 1/I$476, 1)*I370)^$F373*_p_days</f>
        <v>3292.961690003377</v>
      </c>
      <c r="J373" s="104" cm="1">
        <f t="array" ref="J373">$E373*(IF($D373 = "x", 1/J$476, 1)*J370)^$F373*_p_days</f>
        <v>3292.961690003377</v>
      </c>
      <c r="K373" s="104" cm="1">
        <f t="array" ref="K373">$E373*(IF($D373 = "x", 1/K$476, 1)*K370)^$F373*_p_days</f>
        <v>3292.961690003377</v>
      </c>
      <c r="L373" s="104" cm="1">
        <f t="array" ref="L373">$E373*(IF($D373 = "x", 1/L$476, 1)*L370)^$F373*_p_days</f>
        <v>3292.961690003377</v>
      </c>
      <c r="M373" s="104" cm="1">
        <f t="array" ref="M373">$E373*(IF($D373 = "x", 1/M$476, 1)*M370)^$F373*_p_days</f>
        <v>3292.961690003377</v>
      </c>
      <c r="N373" s="44"/>
      <c r="O373" s="44"/>
      <c r="P373" s="44"/>
      <c r="R373" s="26"/>
      <c r="S373" s="77"/>
      <c r="T373" s="77"/>
      <c r="U373" s="77"/>
      <c r="V373" s="77"/>
      <c r="W373" s="77"/>
      <c r="X373" s="77"/>
    </row>
    <row r="374" spans="2:24" x14ac:dyDescent="0.15">
      <c r="C374" s="8" t="s">
        <v>1176</v>
      </c>
      <c r="D374" s="693"/>
      <c r="E374" s="104">
        <f>'Cost Input'!F304</f>
        <v>3400</v>
      </c>
      <c r="F374" s="1052">
        <f>'Cost Input'!G304</f>
        <v>1</v>
      </c>
      <c r="G374" s="104" cm="1">
        <f t="array" ref="G374">$E374*(IF($D374 = "x", 1/G$476, 1)*G370)^$F374*_p_days</f>
        <v>3392.36717385882</v>
      </c>
      <c r="H374" s="104" cm="1">
        <f t="array" ref="H374">$E374*(IF($D374 = "x", 1/H$476, 1)*H370)^$F374*_p_days</f>
        <v>3392.36717385882</v>
      </c>
      <c r="I374" s="104" cm="1">
        <f t="array" ref="I374">$E374*(IF($D374 = "x", 1/I$476, 1)*I370)^$F374*_p_days</f>
        <v>3392.36717385882</v>
      </c>
      <c r="J374" s="104" cm="1">
        <f t="array" ref="J374">$E374*(IF($D374 = "x", 1/J$476, 1)*J370)^$F374*_p_days</f>
        <v>3392.36717385882</v>
      </c>
      <c r="K374" s="104" cm="1">
        <f t="array" ref="K374">$E374*(IF($D374 = "x", 1/K$476, 1)*K370)^$F374*_p_days</f>
        <v>3392.36717385882</v>
      </c>
      <c r="L374" s="104" cm="1">
        <f t="array" ref="L374">$E374*(IF($D374 = "x", 1/L$476, 1)*L370)^$F374*_p_days</f>
        <v>3392.36717385882</v>
      </c>
      <c r="M374" s="104" cm="1">
        <f t="array" ref="M374">$E374*(IF($D374 = "x", 1/M$476, 1)*M370)^$F374*_p_days</f>
        <v>3392.36717385882</v>
      </c>
      <c r="N374" s="44"/>
      <c r="O374" s="44"/>
      <c r="P374" s="44"/>
      <c r="R374" s="26"/>
      <c r="S374" s="77"/>
      <c r="T374" s="77"/>
      <c r="U374" s="77"/>
      <c r="V374" s="77"/>
      <c r="W374" s="77"/>
      <c r="X374" s="77"/>
    </row>
    <row r="375" spans="2:24" x14ac:dyDescent="0.15">
      <c r="C375" s="8"/>
      <c r="E375" s="104"/>
      <c r="F375" s="1051"/>
      <c r="G375" s="104"/>
      <c r="H375" s="104"/>
      <c r="I375" s="104"/>
      <c r="J375" s="104"/>
      <c r="K375" s="104"/>
      <c r="L375" s="104"/>
      <c r="M375" s="104"/>
      <c r="N375" s="44"/>
      <c r="O375" s="44"/>
      <c r="P375" s="44"/>
      <c r="R375" s="26"/>
      <c r="S375" s="77"/>
      <c r="T375" s="77"/>
      <c r="U375" s="77"/>
      <c r="V375" s="77"/>
      <c r="W375" s="77"/>
      <c r="X375" s="77"/>
    </row>
    <row r="376" spans="2:24" ht="14" x14ac:dyDescent="0.15">
      <c r="B376" s="507" t="s">
        <v>1219</v>
      </c>
      <c r="C376" s="8"/>
      <c r="D376" s="8"/>
      <c r="E376" s="104"/>
      <c r="F376" s="1051"/>
      <c r="G376" s="104"/>
      <c r="H376" s="104"/>
      <c r="I376" s="104"/>
      <c r="J376" s="104"/>
      <c r="K376" s="104"/>
      <c r="L376" s="104"/>
      <c r="M376" s="104"/>
      <c r="N376" s="44"/>
      <c r="O376" s="44"/>
      <c r="P376" s="44"/>
    </row>
    <row r="377" spans="2:24" x14ac:dyDescent="0.15">
      <c r="C377" s="8" t="s">
        <v>1214</v>
      </c>
      <c r="D377" s="8"/>
      <c r="E377" s="104"/>
      <c r="F377" s="1051"/>
      <c r="G377" s="117">
        <f ca="1">(G13)/'Cost Input'!$F$340</f>
        <v>1.0000000000001776</v>
      </c>
      <c r="H377" s="117">
        <f ca="1">(H13)/'Cost Input'!$F$340</f>
        <v>1.0000000000001776</v>
      </c>
      <c r="I377" s="117">
        <f ca="1">(I13)/'Cost Input'!$F$340</f>
        <v>1.0000000000001776</v>
      </c>
      <c r="J377" s="117">
        <f ca="1">(J13)/'Cost Input'!$F$340</f>
        <v>1.0000000000001776</v>
      </c>
      <c r="K377" s="117">
        <f ca="1">(K13)/'Cost Input'!$F$340</f>
        <v>1.0000000000001776</v>
      </c>
      <c r="L377" s="117">
        <f ca="1">(L13)/'Cost Input'!$F$340</f>
        <v>1.0000000000001776</v>
      </c>
      <c r="M377" s="117">
        <f ca="1">(M13)/'Cost Input'!$F$340</f>
        <v>1.0000000000001776</v>
      </c>
      <c r="N377" s="1101">
        <f>(N14+IF(_manufact_method=2,#REF!*N33,0))/'Cost Input'!$F$346</f>
        <v>0</v>
      </c>
      <c r="P377" s="44"/>
    </row>
    <row r="378" spans="2:24" x14ac:dyDescent="0.15">
      <c r="C378" s="8" t="s">
        <v>1173</v>
      </c>
      <c r="D378" s="476"/>
      <c r="E378" s="104">
        <f>'Cost Input'!F308</f>
        <v>48000</v>
      </c>
      <c r="F378" s="1052">
        <f>'Cost Input'!G308</f>
        <v>0.7</v>
      </c>
      <c r="G378" s="104">
        <f t="shared" ref="G378:M378" ca="1" si="70">$E378*(IF($D378 = "x", 1/G$476, 1)*G377)^$F378</f>
        <v>48000.000000005966</v>
      </c>
      <c r="H378" s="104">
        <f t="shared" ca="1" si="70"/>
        <v>48000.000000005966</v>
      </c>
      <c r="I378" s="104">
        <f t="shared" ca="1" si="70"/>
        <v>48000.000000005966</v>
      </c>
      <c r="J378" s="104">
        <f t="shared" ca="1" si="70"/>
        <v>48000.000000005966</v>
      </c>
      <c r="K378" s="104">
        <f t="shared" ca="1" si="70"/>
        <v>48000.000000005966</v>
      </c>
      <c r="L378" s="104">
        <f t="shared" ca="1" si="70"/>
        <v>48000.000000005966</v>
      </c>
      <c r="M378" s="104">
        <f t="shared" ca="1" si="70"/>
        <v>48000.000000005966</v>
      </c>
      <c r="N378" s="44"/>
      <c r="O378" s="44"/>
      <c r="P378" s="44"/>
    </row>
    <row r="379" spans="2:24" x14ac:dyDescent="0.15">
      <c r="C379" s="8" t="s">
        <v>1174</v>
      </c>
      <c r="D379" s="693" t="str">
        <f>IF($E$474&gt;2, "x", "")</f>
        <v/>
      </c>
      <c r="E379" s="64">
        <f>'Cost Input'!F309</f>
        <v>13.6</v>
      </c>
      <c r="F379" s="1052">
        <f>'Cost Input'!G309</f>
        <v>0.95</v>
      </c>
      <c r="G379" s="116" cm="1">
        <f t="array" aca="1" ref="G379" ca="1">$E379*(IF($D379 = "x", 1/G$476, 1)*G377)^$F379*_p_days</f>
        <v>13.600000000002295</v>
      </c>
      <c r="H379" s="116" cm="1">
        <f t="array" aca="1" ref="H379" ca="1">$E379*(IF($D379 = "x", 1/H$476, 1)*H377)^$F379*_p_days</f>
        <v>13.600000000002295</v>
      </c>
      <c r="I379" s="116" cm="1">
        <f t="array" aca="1" ref="I379" ca="1">$E379*(IF($D379 = "x", 1/I$476, 1)*I377)^$F379*_p_days</f>
        <v>13.600000000002295</v>
      </c>
      <c r="J379" s="116" cm="1">
        <f t="array" aca="1" ref="J379" ca="1">$E379*(IF($D379 = "x", 1/J$476, 1)*J377)^$F379*_p_days</f>
        <v>13.600000000002295</v>
      </c>
      <c r="K379" s="116" cm="1">
        <f t="array" aca="1" ref="K379" ca="1">$E379*(IF($D379 = "x", 1/K$476, 1)*K377)^$F379*_p_days</f>
        <v>13.600000000002295</v>
      </c>
      <c r="L379" s="116" cm="1">
        <f t="array" aca="1" ref="L379" ca="1">$E379*(IF($D379 = "x", 1/L$476, 1)*L377)^$F379*_p_days</f>
        <v>13.600000000002295</v>
      </c>
      <c r="M379" s="116" cm="1">
        <f t="array" aca="1" ref="M379" ca="1">$E379*(IF($D379 = "x", 1/M$476, 1)*M377)^$F379*_p_days</f>
        <v>13.600000000002295</v>
      </c>
      <c r="N379" s="44"/>
      <c r="O379" s="44"/>
      <c r="P379" s="44"/>
    </row>
    <row r="380" spans="2:24" ht="14" x14ac:dyDescent="0.2">
      <c r="C380" s="8" t="s">
        <v>1175</v>
      </c>
      <c r="D380" s="693" t="str">
        <f>IF($E$474&gt;1, "x", "")</f>
        <v/>
      </c>
      <c r="E380" s="104">
        <f>'Cost Input'!F310</f>
        <v>1300</v>
      </c>
      <c r="F380" s="1052">
        <f>'Cost Input'!G310</f>
        <v>0.95</v>
      </c>
      <c r="G380" s="104" cm="1">
        <f t="array" aca="1" ref="G380" ca="1">$E380*(IF($D380 = "x", 1/G$476, 1)*G377)^$F380*_p_days</f>
        <v>1300.0000000002194</v>
      </c>
      <c r="H380" s="104" cm="1">
        <f t="array" aca="1" ref="H380" ca="1">$E380*(IF($D380 = "x", 1/H$476, 1)*H377)^$F380*_p_days</f>
        <v>1300.0000000002194</v>
      </c>
      <c r="I380" s="104" cm="1">
        <f t="array" aca="1" ref="I380" ca="1">$E380*(IF($D380 = "x", 1/I$476, 1)*I377)^$F380*_p_days</f>
        <v>1300.0000000002194</v>
      </c>
      <c r="J380" s="104" cm="1">
        <f t="array" aca="1" ref="J380" ca="1">$E380*(IF($D380 = "x", 1/J$476, 1)*J377)^$F380*_p_days</f>
        <v>1300.0000000002194</v>
      </c>
      <c r="K380" s="104" cm="1">
        <f t="array" aca="1" ref="K380" ca="1">$E380*(IF($D380 = "x", 1/K$476, 1)*K377)^$F380*_p_days</f>
        <v>1300.0000000002194</v>
      </c>
      <c r="L380" s="104" cm="1">
        <f t="array" aca="1" ref="L380" ca="1">$E380*(IF($D380 = "x", 1/L$476, 1)*L377)^$F380*_p_days</f>
        <v>1300.0000000002194</v>
      </c>
      <c r="M380" s="104" cm="1">
        <f t="array" aca="1" ref="M380" ca="1">$E380*(IF($D380 = "x", 1/M$476, 1)*M377)^$F380*_p_days</f>
        <v>1300.0000000002194</v>
      </c>
      <c r="N380" s="44"/>
      <c r="O380" s="44"/>
      <c r="P380" s="44"/>
    </row>
    <row r="381" spans="2:24" x14ac:dyDescent="0.15">
      <c r="C381" s="8" t="s">
        <v>1176</v>
      </c>
      <c r="D381" s="693"/>
      <c r="E381" s="104">
        <f>'Cost Input'!F311</f>
        <v>20</v>
      </c>
      <c r="F381" s="1052">
        <f>'Cost Input'!G311</f>
        <v>1</v>
      </c>
      <c r="G381" s="116" cm="1">
        <f t="array" aca="1" ref="G381" ca="1">$E381*(IF($D381 = "x", 1/G$476, 1)*G377)^$F381*_p_days</f>
        <v>20.000000000003553</v>
      </c>
      <c r="H381" s="116" cm="1">
        <f t="array" aca="1" ref="H381" ca="1">$E381*(IF($D381 = "x", 1/H$476, 1)*H377)^$F381*_p_days</f>
        <v>20.000000000003553</v>
      </c>
      <c r="I381" s="116" cm="1">
        <f t="array" aca="1" ref="I381" ca="1">$E381*(IF($D381 = "x", 1/I$476, 1)*I377)^$F381*_p_days</f>
        <v>20.000000000003553</v>
      </c>
      <c r="J381" s="116" cm="1">
        <f t="array" aca="1" ref="J381" ca="1">$E381*(IF($D381 = "x", 1/J$476, 1)*J377)^$F381*_p_days</f>
        <v>20.000000000003553</v>
      </c>
      <c r="K381" s="116" cm="1">
        <f t="array" aca="1" ref="K381" ca="1">$E381*(IF($D381 = "x", 1/K$476, 1)*K377)^$F381*_p_days</f>
        <v>20.000000000003553</v>
      </c>
      <c r="L381" s="116" cm="1">
        <f t="array" aca="1" ref="L381" ca="1">$E381*(IF($D381 = "x", 1/L$476, 1)*L377)^$F381*_p_days</f>
        <v>20.000000000003553</v>
      </c>
      <c r="M381" s="116" cm="1">
        <f t="array" aca="1" ref="M381" ca="1">$E381*(IF($D381 = "x", 1/M$476, 1)*M377)^$F381*_p_days</f>
        <v>20.000000000003553</v>
      </c>
      <c r="N381" s="116" cm="1">
        <f t="array" ref="N381">$E381*(IF($D381 = "x", 1/N$476, 1)*N377)^$F381*_p_days</f>
        <v>0</v>
      </c>
      <c r="O381" s="44"/>
      <c r="P381" s="44"/>
    </row>
    <row r="382" spans="2:24" x14ac:dyDescent="0.15">
      <c r="C382" s="8"/>
      <c r="E382" s="104"/>
      <c r="F382" s="116"/>
      <c r="G382" s="104"/>
      <c r="H382" s="104"/>
      <c r="I382" s="104"/>
      <c r="J382" s="104"/>
      <c r="K382" s="104"/>
      <c r="L382" s="104"/>
      <c r="M382" s="104"/>
      <c r="N382" s="44"/>
      <c r="O382" s="44"/>
      <c r="P382" s="44"/>
    </row>
    <row r="383" spans="2:24" ht="14" x14ac:dyDescent="0.15">
      <c r="B383" s="507" t="s">
        <v>1220</v>
      </c>
      <c r="C383" s="8"/>
      <c r="D383" s="8"/>
      <c r="E383" s="104"/>
      <c r="F383" s="1051"/>
      <c r="G383" s="24"/>
      <c r="H383" s="24"/>
      <c r="I383" s="24"/>
      <c r="J383" s="24"/>
      <c r="K383" s="24"/>
      <c r="L383" s="24"/>
      <c r="M383" s="24"/>
    </row>
    <row r="384" spans="2:24" ht="14" x14ac:dyDescent="0.15">
      <c r="B384" s="507"/>
      <c r="C384" s="225" t="s">
        <v>1221</v>
      </c>
      <c r="D384" s="8"/>
      <c r="E384" s="104"/>
      <c r="F384" s="1051"/>
      <c r="G384" s="24"/>
      <c r="H384" s="24"/>
      <c r="I384" s="24"/>
      <c r="J384" s="24"/>
      <c r="K384" s="24"/>
      <c r="L384" s="24"/>
      <c r="M384" s="24"/>
    </row>
    <row r="385" spans="3:24" x14ac:dyDescent="0.15">
      <c r="C385" s="8" t="s">
        <v>1222</v>
      </c>
      <c r="D385" s="26"/>
      <c r="E385" s="104"/>
      <c r="F385" s="1051"/>
      <c r="G385" s="24">
        <f ca="1">G22/'Cost Input'!$F$354</f>
        <v>0.96820899112146785</v>
      </c>
      <c r="H385" s="24">
        <f ca="1">H22/'Cost Input'!$F$354</f>
        <v>0.96820899112146785</v>
      </c>
      <c r="I385" s="24">
        <f ca="1">I22/'Cost Input'!$F$354</f>
        <v>0.96820899112146785</v>
      </c>
      <c r="J385" s="24">
        <f ca="1">J22/'Cost Input'!$F$354</f>
        <v>0.96820899112146785</v>
      </c>
      <c r="K385" s="24">
        <f ca="1">K22/'Cost Input'!$F$354</f>
        <v>0.96820899112146785</v>
      </c>
      <c r="L385" s="24">
        <f ca="1">L22/'Cost Input'!$F$354</f>
        <v>0.96820899112146785</v>
      </c>
      <c r="M385" s="24">
        <f ca="1">M22/'Cost Input'!$F$354</f>
        <v>0.96820899112146785</v>
      </c>
    </row>
    <row r="386" spans="3:24" x14ac:dyDescent="0.15">
      <c r="C386" s="8" t="s">
        <v>1173</v>
      </c>
      <c r="D386" s="476"/>
      <c r="E386" s="104">
        <f>'Cost Input'!F316</f>
        <v>0</v>
      </c>
      <c r="F386" s="104">
        <f>'Cost Input'!G316</f>
        <v>0</v>
      </c>
      <c r="G386" s="104">
        <f t="shared" ref="G386:M386" ca="1" si="71">$E386*(IF($D386 = "x", 1/G$476, 1)*G385)^$F386</f>
        <v>0</v>
      </c>
      <c r="H386" s="104">
        <f t="shared" ca="1" si="71"/>
        <v>0</v>
      </c>
      <c r="I386" s="104">
        <f t="shared" ca="1" si="71"/>
        <v>0</v>
      </c>
      <c r="J386" s="104">
        <f t="shared" ca="1" si="71"/>
        <v>0</v>
      </c>
      <c r="K386" s="104">
        <f t="shared" ca="1" si="71"/>
        <v>0</v>
      </c>
      <c r="L386" s="104">
        <f t="shared" ca="1" si="71"/>
        <v>0</v>
      </c>
      <c r="M386" s="104">
        <f t="shared" ca="1" si="71"/>
        <v>0</v>
      </c>
    </row>
    <row r="387" spans="3:24" x14ac:dyDescent="0.15">
      <c r="C387" s="8" t="s">
        <v>1174</v>
      </c>
      <c r="D387" s="693"/>
      <c r="E387" s="104">
        <f>'Cost Input'!F317</f>
        <v>450.5</v>
      </c>
      <c r="F387" s="105">
        <f>'Cost Input'!G317</f>
        <v>0.95</v>
      </c>
      <c r="G387" s="116">
        <f t="shared" ref="G387:M387" ca="1" si="72">$E387*(IF($D387 = "x", 1/G$476, 1)*G385)^$F387</f>
        <v>436.88330713699901</v>
      </c>
      <c r="H387" s="116">
        <f t="shared" ca="1" si="72"/>
        <v>436.88330713699901</v>
      </c>
      <c r="I387" s="116">
        <f t="shared" ca="1" si="72"/>
        <v>436.88330713699901</v>
      </c>
      <c r="J387" s="116">
        <f t="shared" ca="1" si="72"/>
        <v>436.88330713699901</v>
      </c>
      <c r="K387" s="116">
        <f t="shared" ca="1" si="72"/>
        <v>436.88330713699901</v>
      </c>
      <c r="L387" s="116">
        <f t="shared" ca="1" si="72"/>
        <v>436.88330713699901</v>
      </c>
      <c r="M387" s="116">
        <f t="shared" ca="1" si="72"/>
        <v>436.88330713699901</v>
      </c>
    </row>
    <row r="388" spans="3:24" ht="14" x14ac:dyDescent="0.2">
      <c r="C388" s="8" t="s">
        <v>1175</v>
      </c>
      <c r="D388" s="693" t="str">
        <f>IF($E$474&gt;1, "x", "")</f>
        <v/>
      </c>
      <c r="E388" s="104">
        <f>'Cost Input'!F318</f>
        <v>0</v>
      </c>
      <c r="F388" s="104">
        <f>'Cost Input'!G318</f>
        <v>0</v>
      </c>
      <c r="G388" s="104">
        <f t="shared" ref="G388:M388" ca="1" si="73">$E388*(IF($D388 = "x", 1/G$476, 1)*G385)^$F388</f>
        <v>0</v>
      </c>
      <c r="H388" s="104">
        <f t="shared" ca="1" si="73"/>
        <v>0</v>
      </c>
      <c r="I388" s="104">
        <f t="shared" ca="1" si="73"/>
        <v>0</v>
      </c>
      <c r="J388" s="104">
        <f t="shared" ca="1" si="73"/>
        <v>0</v>
      </c>
      <c r="K388" s="104">
        <f t="shared" ca="1" si="73"/>
        <v>0</v>
      </c>
      <c r="L388" s="104">
        <f t="shared" ca="1" si="73"/>
        <v>0</v>
      </c>
      <c r="M388" s="104">
        <f t="shared" ca="1" si="73"/>
        <v>0</v>
      </c>
      <c r="N388" s="44"/>
      <c r="O388" s="44"/>
      <c r="P388" s="44"/>
      <c r="R388" s="160"/>
      <c r="S388" s="161"/>
      <c r="T388" s="161"/>
      <c r="U388" s="77"/>
      <c r="V388" s="77"/>
      <c r="W388" s="77"/>
      <c r="X388" s="77"/>
    </row>
    <row r="389" spans="3:24" x14ac:dyDescent="0.15">
      <c r="C389" s="8" t="s">
        <v>1176</v>
      </c>
      <c r="D389" s="693"/>
      <c r="E389" s="104">
        <f>'Cost Input'!F319</f>
        <v>29000</v>
      </c>
      <c r="F389" s="105">
        <f>'Cost Input'!G319</f>
        <v>0.95</v>
      </c>
      <c r="G389" s="104">
        <f ca="1">$E389*(IF($D389 = "x", 1/G$476, 1)*G385)^$F389</f>
        <v>28123.453733569306</v>
      </c>
      <c r="H389" s="104">
        <f t="shared" ref="H389:M389" ca="1" si="74">$E389*(IF($D389 = "x", 1/H$476, 1)*H385)^$F389</f>
        <v>28123.453733569306</v>
      </c>
      <c r="I389" s="104">
        <f t="shared" ca="1" si="74"/>
        <v>28123.453733569306</v>
      </c>
      <c r="J389" s="104">
        <f t="shared" ca="1" si="74"/>
        <v>28123.453733569306</v>
      </c>
      <c r="K389" s="104">
        <f t="shared" ca="1" si="74"/>
        <v>28123.453733569306</v>
      </c>
      <c r="L389" s="104">
        <f t="shared" ca="1" si="74"/>
        <v>28123.453733569306</v>
      </c>
      <c r="M389" s="104">
        <f t="shared" ca="1" si="74"/>
        <v>28123.453733569306</v>
      </c>
      <c r="N389" s="104">
        <f>$E389*(IF($D389 = "x", 1/N$476, 1)*N385*N476)^$F389*N476</f>
        <v>0</v>
      </c>
      <c r="O389" s="371"/>
      <c r="P389" s="44"/>
      <c r="Q389" s="20"/>
      <c r="R389" s="160"/>
      <c r="S389" s="161"/>
      <c r="T389" s="161"/>
      <c r="U389" s="77"/>
      <c r="V389" s="77"/>
      <c r="W389" s="77"/>
      <c r="X389" s="77"/>
    </row>
    <row r="390" spans="3:24" x14ac:dyDescent="0.15">
      <c r="C390" s="8"/>
      <c r="D390" s="46"/>
      <c r="E390" s="104"/>
      <c r="F390" s="104"/>
      <c r="G390" s="105"/>
      <c r="H390" s="105"/>
      <c r="I390" s="105"/>
      <c r="J390" s="105"/>
      <c r="K390" s="105"/>
      <c r="L390" s="105"/>
      <c r="M390" s="105"/>
      <c r="N390" s="44"/>
      <c r="O390" s="44"/>
      <c r="P390" s="44"/>
      <c r="R390" s="160"/>
      <c r="S390" s="161"/>
      <c r="T390" s="161"/>
      <c r="U390" s="77"/>
      <c r="V390" s="77"/>
      <c r="W390" s="77"/>
      <c r="X390" s="77"/>
    </row>
    <row r="391" spans="3:24" x14ac:dyDescent="0.15">
      <c r="C391" s="225" t="s">
        <v>1223</v>
      </c>
      <c r="D391" s="8"/>
      <c r="E391" s="104"/>
      <c r="F391" s="104"/>
      <c r="G391" s="105"/>
      <c r="H391" s="105"/>
      <c r="I391" s="105"/>
      <c r="J391" s="105"/>
      <c r="K391" s="105"/>
      <c r="L391" s="105"/>
      <c r="M391" s="105"/>
      <c r="N391" s="44"/>
      <c r="O391" s="44"/>
      <c r="P391" s="44"/>
      <c r="R391" s="160"/>
      <c r="S391" s="161"/>
      <c r="T391" s="161"/>
      <c r="U391" s="77"/>
      <c r="V391" s="77"/>
      <c r="W391" s="77"/>
      <c r="X391" s="77"/>
    </row>
    <row r="392" spans="3:24" x14ac:dyDescent="0.15">
      <c r="C392" s="8" t="s">
        <v>1224</v>
      </c>
      <c r="D392" s="26"/>
      <c r="E392" s="104"/>
      <c r="F392" s="1051"/>
      <c r="G392" s="24">
        <f ca="1">SUM(SUM(G381,G374,G367,G359,G333,G323,G316,G309,G302,G295,G288,G280,G272,G265,G257,G250,G242,G235,G227,G217,G206,G199,G351,G342)/G476,SUM(G389, G403 ))/('Cost Input'!$F$323)</f>
        <v>1.0007087217347994</v>
      </c>
      <c r="H392" s="24">
        <f ca="1">SUM(SUM(H381,H374,H367,H359,H333,H323,H316,H309,H302,H295,H288,H280,H272,H265,H257,H250,H242,H235,H227,H217,H206,H199,H351,H342)/H476,SUM(H389, H403 ))/('Cost Input'!$F$323)</f>
        <v>1.0007087217347994</v>
      </c>
      <c r="I392" s="24">
        <f ca="1">SUM(SUM(I381,I374,I367,I359,I333,I323,I316,I309,I302,I295,I288,I280,I272,I265,I257,I250,I242,I235,I227,I217,I206,I199,I351,I342)/I476,SUM(I389, I403 ))/('Cost Input'!$F$323)</f>
        <v>1.0007087217347994</v>
      </c>
      <c r="J392" s="24">
        <f ca="1">SUM(SUM(J381,J374,J367,J359,J333,J323,J316,J309,J302,J295,J288,J280,J272,J265,J257,J250,J242,J235,J227,J217,J206,J199,J351,J342)/J476,SUM(J389, J403 ))/('Cost Input'!$F$323)</f>
        <v>1.0007087217347994</v>
      </c>
      <c r="K392" s="24">
        <f ca="1">SUM(SUM(K381,K374,K367,K359,K333,K323,K316,K309,K302,K295,K288,K280,K272,K265,K257,K250,K242,K235,K227,K217,K206,K199,K351,K342)/K476,SUM(K389, K403 ))/('Cost Input'!$F$323)</f>
        <v>1.0007087217347994</v>
      </c>
      <c r="L392" s="24">
        <f ca="1">SUM(SUM(L381,L374,L367,L359,L333,L323,L316,L309,L302,L295,L288,L280,L272,L265,L257,L250,L242,L235,L227,L217,L206,L199,L351,L342)/L476,SUM(L389, L403 ))/('Cost Input'!$F$323)</f>
        <v>1.0007087217347994</v>
      </c>
      <c r="M392" s="24">
        <f ca="1">SUM(SUM(M381,M374,M367,M359,M333,M323,M316,M309,M302,M295,M288,M280,M272,M265,M257,M250,M242,M235,M227,M217,M206,M199,M351,M342)/M476,SUM(M389, M403 ))/('Cost Input'!$F$323)</f>
        <v>1.0007087217347994</v>
      </c>
      <c r="N392" s="44"/>
      <c r="P392" s="44"/>
      <c r="R392" s="160"/>
      <c r="S392" s="161"/>
      <c r="T392" s="161"/>
      <c r="U392" s="77"/>
      <c r="V392" s="77"/>
      <c r="W392" s="77"/>
      <c r="X392" s="77"/>
    </row>
    <row r="393" spans="3:24" x14ac:dyDescent="0.15">
      <c r="C393" s="8" t="s">
        <v>1173</v>
      </c>
      <c r="D393" s="476"/>
      <c r="E393" s="104">
        <f>'Cost Input'!F324</f>
        <v>0</v>
      </c>
      <c r="F393" s="104">
        <f>'Cost Input'!G324</f>
        <v>0</v>
      </c>
      <c r="G393" s="104">
        <f t="shared" ref="G393:M393" ca="1" si="75">$E393*(IF($D393 = "x", 1/G$476, 1)*G392)^$F393</f>
        <v>0</v>
      </c>
      <c r="H393" s="104">
        <f t="shared" ca="1" si="75"/>
        <v>0</v>
      </c>
      <c r="I393" s="104">
        <f t="shared" ca="1" si="75"/>
        <v>0</v>
      </c>
      <c r="J393" s="104">
        <f t="shared" ca="1" si="75"/>
        <v>0</v>
      </c>
      <c r="K393" s="104">
        <f t="shared" ca="1" si="75"/>
        <v>0</v>
      </c>
      <c r="L393" s="104">
        <f t="shared" ca="1" si="75"/>
        <v>0</v>
      </c>
      <c r="M393" s="104">
        <f t="shared" ca="1" si="75"/>
        <v>0</v>
      </c>
      <c r="N393" s="44"/>
      <c r="O393" s="44"/>
      <c r="P393" s="44"/>
      <c r="R393" s="160"/>
      <c r="S393" s="161"/>
      <c r="T393" s="161"/>
      <c r="U393" s="77"/>
      <c r="V393" s="77"/>
      <c r="W393" s="77"/>
      <c r="X393" s="77"/>
    </row>
    <row r="394" spans="3:24" x14ac:dyDescent="0.15">
      <c r="C394" s="8" t="s">
        <v>1174</v>
      </c>
      <c r="D394" s="693"/>
      <c r="E394" s="104">
        <f>'Cost Input'!F325</f>
        <v>510</v>
      </c>
      <c r="F394" s="105">
        <f>'Cost Input'!G325</f>
        <v>0.95</v>
      </c>
      <c r="G394" s="116">
        <f ca="1">$E394*(IF($D394 = "x", 1/G$476, 1)*G392)^$F394</f>
        <v>510.34336959807376</v>
      </c>
      <c r="H394" s="116">
        <f t="shared" ref="H394:M394" ca="1" si="76">$E394*(IF($D394 = "x", 1/H$476, 1)*H392)^$F394</f>
        <v>510.34336959807376</v>
      </c>
      <c r="I394" s="116">
        <f t="shared" ca="1" si="76"/>
        <v>510.34336959807376</v>
      </c>
      <c r="J394" s="116">
        <f t="shared" ca="1" si="76"/>
        <v>510.34336959807376</v>
      </c>
      <c r="K394" s="116">
        <f t="shared" ca="1" si="76"/>
        <v>510.34336959807376</v>
      </c>
      <c r="L394" s="116">
        <f t="shared" ca="1" si="76"/>
        <v>510.34336959807376</v>
      </c>
      <c r="M394" s="116">
        <f t="shared" ca="1" si="76"/>
        <v>510.34336959807376</v>
      </c>
      <c r="N394" s="44"/>
      <c r="O394" s="371"/>
      <c r="P394" s="44"/>
      <c r="R394" s="160"/>
      <c r="S394" s="161"/>
      <c r="T394" s="161"/>
      <c r="U394" s="77"/>
      <c r="V394" s="77"/>
      <c r="W394" s="77"/>
      <c r="X394" s="77"/>
    </row>
    <row r="395" spans="3:24" ht="14" x14ac:dyDescent="0.2">
      <c r="C395" s="8" t="s">
        <v>1175</v>
      </c>
      <c r="D395" s="693" t="str">
        <f>IF($E$474&gt;1, "x", "")</f>
        <v/>
      </c>
      <c r="E395" s="104">
        <f>'Cost Input'!F326</f>
        <v>0</v>
      </c>
      <c r="F395" s="104">
        <f>'Cost Input'!G326</f>
        <v>0</v>
      </c>
      <c r="G395" s="104">
        <f t="shared" ref="G395:M395" ca="1" si="77">$E395*(IF($D395 = "x", 1/G$476, 1)*G392)^$F395</f>
        <v>0</v>
      </c>
      <c r="H395" s="104">
        <f t="shared" ca="1" si="77"/>
        <v>0</v>
      </c>
      <c r="I395" s="104">
        <f t="shared" ca="1" si="77"/>
        <v>0</v>
      </c>
      <c r="J395" s="104">
        <f t="shared" ca="1" si="77"/>
        <v>0</v>
      </c>
      <c r="K395" s="104">
        <f t="shared" ca="1" si="77"/>
        <v>0</v>
      </c>
      <c r="L395" s="104">
        <f t="shared" ca="1" si="77"/>
        <v>0</v>
      </c>
      <c r="M395" s="104">
        <f t="shared" ca="1" si="77"/>
        <v>0</v>
      </c>
      <c r="N395" s="44"/>
      <c r="O395" s="44"/>
      <c r="P395" s="44"/>
      <c r="R395" s="160"/>
      <c r="S395" s="161"/>
      <c r="T395" s="161"/>
      <c r="U395" s="77"/>
      <c r="V395" s="77"/>
      <c r="W395" s="77"/>
      <c r="X395" s="77"/>
    </row>
    <row r="396" spans="3:24" x14ac:dyDescent="0.15">
      <c r="C396" s="8" t="s">
        <v>1176</v>
      </c>
      <c r="D396" s="693"/>
      <c r="E396" s="104">
        <f>'Cost Input'!F327</f>
        <v>29000</v>
      </c>
      <c r="F396" s="105">
        <f>'Cost Input'!G327</f>
        <v>0.95</v>
      </c>
      <c r="G396" s="104">
        <f t="shared" ref="G396:M396" ca="1" si="78">$E396*(IF($D396 = "x", 1/G$476, 1)*G392)^$F396</f>
        <v>29019.524937929684</v>
      </c>
      <c r="H396" s="104">
        <f t="shared" ca="1" si="78"/>
        <v>29019.524937929684</v>
      </c>
      <c r="I396" s="104">
        <f t="shared" ca="1" si="78"/>
        <v>29019.524937929684</v>
      </c>
      <c r="J396" s="104">
        <f t="shared" ca="1" si="78"/>
        <v>29019.524937929684</v>
      </c>
      <c r="K396" s="104">
        <f t="shared" ca="1" si="78"/>
        <v>29019.524937929684</v>
      </c>
      <c r="L396" s="104">
        <f t="shared" ca="1" si="78"/>
        <v>29019.524937929684</v>
      </c>
      <c r="M396" s="104">
        <f t="shared" ca="1" si="78"/>
        <v>29019.524937929684</v>
      </c>
      <c r="N396" s="104" cm="1">
        <f t="array" ref="N396">$E396*(IF($D396 = "x", 1/N$476, 1)*N392)^$F396*_p_days</f>
        <v>0</v>
      </c>
      <c r="O396" s="44"/>
      <c r="P396" s="44"/>
      <c r="Q396" s="20"/>
      <c r="R396" s="160"/>
      <c r="S396" s="161"/>
      <c r="T396" s="161"/>
      <c r="U396" s="77"/>
      <c r="V396" s="77"/>
      <c r="W396" s="77"/>
      <c r="X396" s="77"/>
    </row>
    <row r="397" spans="3:24" x14ac:dyDescent="0.15">
      <c r="C397" s="8"/>
      <c r="D397" s="46"/>
      <c r="E397" s="104"/>
      <c r="F397" s="104"/>
      <c r="G397" s="104"/>
      <c r="H397" s="104"/>
      <c r="I397" s="104"/>
      <c r="J397" s="104"/>
      <c r="K397" s="104"/>
      <c r="L397" s="104"/>
      <c r="M397" s="104"/>
      <c r="N397" s="44"/>
      <c r="O397" s="44"/>
      <c r="P397" s="44"/>
      <c r="R397" s="160"/>
      <c r="S397" s="161"/>
      <c r="T397" s="161"/>
      <c r="U397" s="77"/>
      <c r="V397" s="77"/>
      <c r="W397" s="77"/>
      <c r="X397" s="77"/>
    </row>
    <row r="398" spans="3:24" x14ac:dyDescent="0.15">
      <c r="C398" s="225" t="s">
        <v>1225</v>
      </c>
      <c r="D398" s="8"/>
      <c r="E398" s="104"/>
      <c r="F398" s="104"/>
      <c r="G398" s="104"/>
      <c r="H398" s="104"/>
      <c r="I398" s="104"/>
      <c r="J398" s="104"/>
      <c r="K398" s="104"/>
      <c r="L398" s="104"/>
      <c r="M398" s="104"/>
      <c r="N398" s="44"/>
      <c r="O398" s="44"/>
      <c r="P398" s="44"/>
      <c r="R398" s="160"/>
      <c r="S398" s="161"/>
      <c r="T398" s="161"/>
      <c r="U398" s="77"/>
      <c r="V398" s="77"/>
      <c r="W398" s="77"/>
      <c r="X398" s="77"/>
    </row>
    <row r="399" spans="3:24" x14ac:dyDescent="0.15">
      <c r="C399" s="8" t="s">
        <v>1226</v>
      </c>
      <c r="D399" s="26"/>
      <c r="E399" s="104"/>
      <c r="F399" s="1051"/>
      <c r="G399" s="24">
        <f ca="1">(3*G13+IF(_manufact_method&gt;0,G8,0))/'Cost Input'!$F$340/IF(_manufact_method&gt;0,4,1)</f>
        <v>1.0000000000001776</v>
      </c>
      <c r="H399" s="24">
        <f ca="1">(3*H13+IF(_manufact_method&gt;0,H8,0))/'Cost Input'!$F$340/IF(_manufact_method&gt;0,4,1)</f>
        <v>1.0000000000001776</v>
      </c>
      <c r="I399" s="24">
        <f ca="1">(3*I13+IF(_manufact_method&gt;0,I8,0))/'Cost Input'!$F$340/IF(_manufact_method&gt;0,4,1)</f>
        <v>1.0000000000001776</v>
      </c>
      <c r="J399" s="24">
        <f ca="1">(3*J13+IF(_manufact_method&gt;0,J8,0))/'Cost Input'!$F$340/IF(_manufact_method&gt;0,4,1)</f>
        <v>1.0000000000001776</v>
      </c>
      <c r="K399" s="24">
        <f ca="1">(3*K13+IF(_manufact_method&gt;0,K8,0))/'Cost Input'!$F$340/IF(_manufact_method&gt;0,4,1)</f>
        <v>1.0000000000001776</v>
      </c>
      <c r="L399" s="24">
        <f ca="1">(3*L13+IF(_manufact_method&gt;0,L8,0))/'Cost Input'!$F$340/IF(_manufact_method&gt;0,4,1)</f>
        <v>1.0000000000001776</v>
      </c>
      <c r="M399" s="24">
        <f ca="1">(3*M13+IF(_manufact_method&gt;0,M8,0))/'Cost Input'!$F$340/IF(_manufact_method&gt;0,4,1)</f>
        <v>1.0000000000001776</v>
      </c>
      <c r="N399" s="44"/>
      <c r="P399" s="44"/>
      <c r="R399" s="160"/>
      <c r="S399" s="161"/>
      <c r="T399" s="161"/>
      <c r="U399" s="77"/>
      <c r="V399" s="77"/>
      <c r="W399" s="77"/>
      <c r="X399" s="77"/>
    </row>
    <row r="400" spans="3:24" x14ac:dyDescent="0.15">
      <c r="C400" s="8" t="s">
        <v>1173</v>
      </c>
      <c r="D400" s="476"/>
      <c r="E400" s="104">
        <f>'Cost Input'!F331</f>
        <v>0</v>
      </c>
      <c r="F400" s="104">
        <f>'Cost Input'!G331</f>
        <v>0</v>
      </c>
      <c r="G400" s="104">
        <f t="shared" ref="G400:M400" ca="1" si="79">$E400*(IF($D400 = "x", 1/G$476, 1)*G399)^$F400</f>
        <v>0</v>
      </c>
      <c r="H400" s="104">
        <f t="shared" ca="1" si="79"/>
        <v>0</v>
      </c>
      <c r="I400" s="104">
        <f t="shared" ca="1" si="79"/>
        <v>0</v>
      </c>
      <c r="J400" s="104">
        <f t="shared" ca="1" si="79"/>
        <v>0</v>
      </c>
      <c r="K400" s="104">
        <f t="shared" ca="1" si="79"/>
        <v>0</v>
      </c>
      <c r="L400" s="104">
        <f t="shared" ca="1" si="79"/>
        <v>0</v>
      </c>
      <c r="M400" s="104">
        <f t="shared" ca="1" si="79"/>
        <v>0</v>
      </c>
      <c r="N400" s="44"/>
      <c r="O400" s="44"/>
      <c r="P400" s="44"/>
      <c r="R400" s="160"/>
      <c r="S400" s="161"/>
      <c r="T400" s="161"/>
      <c r="U400" s="77"/>
      <c r="V400" s="77"/>
      <c r="W400" s="77"/>
      <c r="X400" s="77"/>
    </row>
    <row r="401" spans="2:24" x14ac:dyDescent="0.15">
      <c r="C401" s="8" t="s">
        <v>1174</v>
      </c>
      <c r="D401" s="693" t="str">
        <f>IF($E$474&gt;2, "x", "")</f>
        <v/>
      </c>
      <c r="E401" s="104">
        <f>'Cost Input'!F332</f>
        <v>467.5</v>
      </c>
      <c r="F401" s="105">
        <f>'Cost Input'!G332</f>
        <v>0.95</v>
      </c>
      <c r="G401" s="116" cm="1">
        <f t="array" aca="1" ref="G401" ca="1">$E401*(IF($D401 = "x", 1/G$476, 1)*G399)^$F401*_p_days</f>
        <v>467.5000000000789</v>
      </c>
      <c r="H401" s="116" cm="1">
        <f t="array" aca="1" ref="H401" ca="1">$E401*(IF($D401 = "x", 1/H$476, 1)*H399)^$F401*_p_days</f>
        <v>467.5000000000789</v>
      </c>
      <c r="I401" s="116" cm="1">
        <f t="array" aca="1" ref="I401" ca="1">$E401*(IF($D401 = "x", 1/I$476, 1)*I399)^$F401*_p_days</f>
        <v>467.5000000000789</v>
      </c>
      <c r="J401" s="116" cm="1">
        <f t="array" aca="1" ref="J401" ca="1">$E401*(IF($D401 = "x", 1/J$476, 1)*J399)^$F401*_p_days</f>
        <v>467.5000000000789</v>
      </c>
      <c r="K401" s="116" cm="1">
        <f t="array" aca="1" ref="K401" ca="1">$E401*(IF($D401 = "x", 1/K$476, 1)*K399)^$F401*_p_days</f>
        <v>467.5000000000789</v>
      </c>
      <c r="L401" s="116" cm="1">
        <f t="array" aca="1" ref="L401" ca="1">$E401*(IF($D401 = "x", 1/L$476, 1)*L399)^$F401*_p_days</f>
        <v>467.5000000000789</v>
      </c>
      <c r="M401" s="116" cm="1">
        <f t="array" aca="1" ref="M401" ca="1">$E401*(IF($D401 = "x", 1/M$476, 1)*M399)^$F401*_p_days</f>
        <v>467.5000000000789</v>
      </c>
      <c r="N401" s="44"/>
      <c r="O401" s="44"/>
      <c r="P401" s="44"/>
      <c r="R401" s="160"/>
      <c r="S401" s="161"/>
      <c r="T401" s="161"/>
      <c r="U401" s="77"/>
      <c r="V401" s="77"/>
      <c r="W401" s="77"/>
      <c r="X401" s="77"/>
    </row>
    <row r="402" spans="2:24" ht="14" x14ac:dyDescent="0.2">
      <c r="C402" s="8" t="s">
        <v>1175</v>
      </c>
      <c r="D402" s="693" t="str">
        <f>IF($E$474&gt;1, "x", "")</f>
        <v/>
      </c>
      <c r="E402" s="104">
        <f>'Cost Input'!F333</f>
        <v>0</v>
      </c>
      <c r="F402" s="105">
        <f>'Cost Input'!G333</f>
        <v>0</v>
      </c>
      <c r="G402" s="104">
        <f t="shared" ref="G402:M402" ca="1" si="80">$E402*(IF($D402 = "x", 1/G$476, 1)*G399)^$F402</f>
        <v>0</v>
      </c>
      <c r="H402" s="104">
        <f t="shared" ca="1" si="80"/>
        <v>0</v>
      </c>
      <c r="I402" s="104">
        <f t="shared" ca="1" si="80"/>
        <v>0</v>
      </c>
      <c r="J402" s="104">
        <f t="shared" ca="1" si="80"/>
        <v>0</v>
      </c>
      <c r="K402" s="104">
        <f t="shared" ca="1" si="80"/>
        <v>0</v>
      </c>
      <c r="L402" s="104">
        <f t="shared" ca="1" si="80"/>
        <v>0</v>
      </c>
      <c r="M402" s="104">
        <f t="shared" ca="1" si="80"/>
        <v>0</v>
      </c>
      <c r="N402" s="44"/>
      <c r="O402" s="44"/>
      <c r="P402" s="44"/>
      <c r="R402" s="160"/>
      <c r="S402" s="161"/>
      <c r="T402" s="161"/>
      <c r="U402" s="77"/>
      <c r="V402" s="77"/>
      <c r="W402" s="77"/>
      <c r="X402" s="77"/>
    </row>
    <row r="403" spans="2:24" x14ac:dyDescent="0.15">
      <c r="C403" s="8" t="s">
        <v>1176</v>
      </c>
      <c r="D403" s="693" t="str">
        <f>IF($E$474&gt;1, "x", "")</f>
        <v/>
      </c>
      <c r="E403" s="104">
        <f>'Cost Input'!F334</f>
        <v>27000</v>
      </c>
      <c r="F403" s="105">
        <f>'Cost Input'!G334</f>
        <v>0.95</v>
      </c>
      <c r="G403" s="104" cm="1">
        <f t="array" aca="1" ref="G403" ca="1">$E403*(IF($D403 = "x", 1/G$476, 1)*G399)^$F403*_p_days</f>
        <v>27000.000000004555</v>
      </c>
      <c r="H403" s="104" cm="1">
        <f t="array" aca="1" ref="H403" ca="1">$E403*(IF($D403 = "x", 1/H$476, 1)*H399)^$F403*_p_days</f>
        <v>27000.000000004555</v>
      </c>
      <c r="I403" s="104" cm="1">
        <f t="array" aca="1" ref="I403" ca="1">$E403*(IF($D403 = "x", 1/I$476, 1)*I399)^$F403*_p_days</f>
        <v>27000.000000004555</v>
      </c>
      <c r="J403" s="104" cm="1">
        <f t="array" aca="1" ref="J403" ca="1">$E403*(IF($D403 = "x", 1/J$476, 1)*J399)^$F403*_p_days</f>
        <v>27000.000000004555</v>
      </c>
      <c r="K403" s="104" cm="1">
        <f t="array" aca="1" ref="K403" ca="1">$E403*(IF($D403 = "x", 1/K$476, 1)*K399)^$F403*_p_days</f>
        <v>27000.000000004555</v>
      </c>
      <c r="L403" s="104" cm="1">
        <f t="array" aca="1" ref="L403" ca="1">$E403*(IF($D403 = "x", 1/L$476, 1)*L399)^$F403*_p_days</f>
        <v>27000.000000004555</v>
      </c>
      <c r="M403" s="104" cm="1">
        <f t="array" aca="1" ref="M403" ca="1">$E403*(IF($D403 = "x", 1/M$476, 1)*M399)^$F403*_p_days</f>
        <v>27000.000000004555</v>
      </c>
      <c r="N403" s="44"/>
      <c r="O403" s="371"/>
      <c r="R403" s="160"/>
      <c r="S403" s="161"/>
      <c r="T403" s="161"/>
      <c r="U403" s="77"/>
      <c r="V403" s="77"/>
      <c r="W403" s="77"/>
      <c r="X403" s="77"/>
    </row>
    <row r="404" spans="2:24" ht="14" thickBot="1" x14ac:dyDescent="0.2">
      <c r="C404" s="8"/>
      <c r="D404" s="46"/>
      <c r="F404" s="1055"/>
    </row>
    <row r="405" spans="2:24" ht="19" thickBot="1" x14ac:dyDescent="0.25">
      <c r="B405" s="1335" t="s">
        <v>1227</v>
      </c>
      <c r="C405" s="1336"/>
      <c r="D405" s="1336"/>
      <c r="E405" s="1336"/>
      <c r="F405" s="1336"/>
      <c r="G405" s="1336"/>
      <c r="H405" s="1336"/>
      <c r="I405" s="1336"/>
      <c r="J405" s="1336"/>
      <c r="K405" s="1336"/>
      <c r="L405" s="1336"/>
      <c r="M405" s="1337"/>
    </row>
    <row r="406" spans="2:24" ht="17.25" customHeight="1" x14ac:dyDescent="0.15">
      <c r="C406" s="8"/>
      <c r="D406" s="46"/>
      <c r="E406" s="110"/>
      <c r="F406" s="113"/>
      <c r="G406" s="104"/>
      <c r="H406" s="104"/>
      <c r="I406" s="104"/>
      <c r="J406" s="104"/>
      <c r="K406" s="104"/>
      <c r="L406" s="104"/>
      <c r="M406" s="104"/>
      <c r="N406" s="44"/>
      <c r="O406" s="44"/>
      <c r="P406" s="44"/>
    </row>
    <row r="407" spans="2:24" ht="17.25" customHeight="1" x14ac:dyDescent="0.2">
      <c r="B407" s="5" t="s">
        <v>1228</v>
      </c>
      <c r="F407" s="26"/>
      <c r="G407" s="19"/>
      <c r="H407" s="19"/>
      <c r="I407" s="19"/>
      <c r="J407" s="19"/>
      <c r="K407" s="19"/>
      <c r="L407" s="19"/>
      <c r="M407" s="19"/>
      <c r="P407" s="8"/>
    </row>
    <row r="408" spans="2:24" ht="17.25" customHeight="1" x14ac:dyDescent="0.15">
      <c r="B408" s="8" t="s">
        <v>1229</v>
      </c>
      <c r="F408" s="26"/>
      <c r="G408" s="839">
        <f t="shared" ref="G408:M408" ca="1" si="81">G196+G203+G212+G222+G232+G239+G247+G254+G262+G269</f>
        <v>1159059.8918560999</v>
      </c>
      <c r="H408" s="839">
        <f t="shared" ca="1" si="81"/>
        <v>1159059.8918560999</v>
      </c>
      <c r="I408" s="839">
        <f t="shared" ca="1" si="81"/>
        <v>1159059.8918560999</v>
      </c>
      <c r="J408" s="839">
        <f t="shared" ca="1" si="81"/>
        <v>1159059.8918560999</v>
      </c>
      <c r="K408" s="839">
        <f t="shared" ca="1" si="81"/>
        <v>1159059.8918560999</v>
      </c>
      <c r="L408" s="839">
        <f t="shared" ca="1" si="81"/>
        <v>1159059.8918560999</v>
      </c>
      <c r="M408" s="839">
        <f t="shared" ca="1" si="81"/>
        <v>1159059.8918560999</v>
      </c>
      <c r="P408" s="52"/>
    </row>
    <row r="409" spans="2:24" ht="17.25" customHeight="1" x14ac:dyDescent="0.15">
      <c r="B409" s="8" t="s">
        <v>1230</v>
      </c>
      <c r="F409" s="26"/>
      <c r="G409" s="839">
        <f t="shared" ref="G409:N409" ca="1" si="82">G277+G285+G292+G306+G299+G313+G320</f>
        <v>1469918.6648613904</v>
      </c>
      <c r="H409" s="839">
        <f t="shared" ca="1" si="82"/>
        <v>1469918.6648613904</v>
      </c>
      <c r="I409" s="839">
        <f t="shared" ca="1" si="82"/>
        <v>1469918.6648613904</v>
      </c>
      <c r="J409" s="839">
        <f t="shared" ca="1" si="82"/>
        <v>1469918.6648613904</v>
      </c>
      <c r="K409" s="839">
        <f t="shared" ca="1" si="82"/>
        <v>1469918.6648613904</v>
      </c>
      <c r="L409" s="839">
        <f t="shared" ca="1" si="82"/>
        <v>1469918.6648613904</v>
      </c>
      <c r="M409" s="839">
        <f t="shared" ca="1" si="82"/>
        <v>1469918.6648613904</v>
      </c>
      <c r="N409" s="728">
        <f t="shared" si="82"/>
        <v>0</v>
      </c>
      <c r="P409" s="52"/>
    </row>
    <row r="410" spans="2:24" ht="17.25" customHeight="1" x14ac:dyDescent="0.15">
      <c r="B410" s="8" t="s">
        <v>1231</v>
      </c>
      <c r="F410" s="26"/>
      <c r="G410" s="839">
        <f t="shared" ref="G410:M410" ca="1" si="83">G330</f>
        <v>558970.92764254077</v>
      </c>
      <c r="H410" s="839">
        <f t="shared" ca="1" si="83"/>
        <v>558970.92764254077</v>
      </c>
      <c r="I410" s="839">
        <f t="shared" ca="1" si="83"/>
        <v>558970.92764254077</v>
      </c>
      <c r="J410" s="839">
        <f t="shared" ca="1" si="83"/>
        <v>558970.92764254077</v>
      </c>
      <c r="K410" s="839">
        <f t="shared" ca="1" si="83"/>
        <v>558970.92764254077</v>
      </c>
      <c r="L410" s="839">
        <f t="shared" ca="1" si="83"/>
        <v>558970.92764254077</v>
      </c>
      <c r="M410" s="839">
        <f t="shared" ca="1" si="83"/>
        <v>558970.92764254077</v>
      </c>
      <c r="P410" s="52"/>
    </row>
    <row r="411" spans="2:24" ht="17.25" customHeight="1" x14ac:dyDescent="0.15">
      <c r="B411" s="8" t="s">
        <v>1232</v>
      </c>
      <c r="F411" s="26"/>
      <c r="G411" s="839">
        <f t="shared" ref="G411:M411" si="84">G339</f>
        <v>170000</v>
      </c>
      <c r="H411" s="839">
        <f t="shared" si="84"/>
        <v>170000</v>
      </c>
      <c r="I411" s="839">
        <f t="shared" si="84"/>
        <v>170000</v>
      </c>
      <c r="J411" s="839">
        <f t="shared" si="84"/>
        <v>170000</v>
      </c>
      <c r="K411" s="839">
        <f t="shared" si="84"/>
        <v>170000</v>
      </c>
      <c r="L411" s="839">
        <f t="shared" si="84"/>
        <v>170000</v>
      </c>
      <c r="M411" s="839">
        <f t="shared" si="84"/>
        <v>170000</v>
      </c>
      <c r="N411" s="64">
        <f>N339+N348</f>
        <v>0</v>
      </c>
      <c r="P411" s="52"/>
    </row>
    <row r="412" spans="2:24" ht="17.25" customHeight="1" x14ac:dyDescent="0.15">
      <c r="B412" s="8" t="s">
        <v>1233</v>
      </c>
      <c r="F412" s="26"/>
      <c r="G412" s="839">
        <f t="shared" ref="G412:M412" si="85">G348</f>
        <v>170000</v>
      </c>
      <c r="H412" s="839">
        <f t="shared" si="85"/>
        <v>170000</v>
      </c>
      <c r="I412" s="839">
        <f t="shared" si="85"/>
        <v>170000</v>
      </c>
      <c r="J412" s="839">
        <f t="shared" si="85"/>
        <v>170000</v>
      </c>
      <c r="K412" s="839">
        <f t="shared" si="85"/>
        <v>170000</v>
      </c>
      <c r="L412" s="839">
        <f t="shared" si="85"/>
        <v>170000</v>
      </c>
      <c r="M412" s="839">
        <f t="shared" si="85"/>
        <v>170000</v>
      </c>
      <c r="N412" s="64"/>
      <c r="P412" s="52"/>
    </row>
    <row r="413" spans="2:24" ht="17.25" customHeight="1" x14ac:dyDescent="0.15">
      <c r="B413" s="8" t="s">
        <v>1234</v>
      </c>
      <c r="F413" s="26"/>
      <c r="G413" s="839">
        <f t="shared" ref="G413:M413" ca="1" si="86">G356</f>
        <v>13000.000000001617</v>
      </c>
      <c r="H413" s="839">
        <f t="shared" ca="1" si="86"/>
        <v>13000.000000001617</v>
      </c>
      <c r="I413" s="839">
        <f t="shared" ca="1" si="86"/>
        <v>13000.000000001617</v>
      </c>
      <c r="J413" s="839">
        <f t="shared" ca="1" si="86"/>
        <v>13000.000000001617</v>
      </c>
      <c r="K413" s="839">
        <f t="shared" ca="1" si="86"/>
        <v>13000.000000001617</v>
      </c>
      <c r="L413" s="839">
        <f t="shared" ca="1" si="86"/>
        <v>13000.000000001617</v>
      </c>
      <c r="M413" s="839">
        <f t="shared" ca="1" si="86"/>
        <v>13000.000000001617</v>
      </c>
      <c r="P413" s="52"/>
    </row>
    <row r="414" spans="2:24" ht="17.25" customHeight="1" x14ac:dyDescent="0.15">
      <c r="B414" s="8" t="s">
        <v>1235</v>
      </c>
      <c r="F414" s="26"/>
      <c r="G414" s="858">
        <f ca="1">G386+G364+G371+G378+G393+G400</f>
        <v>101873.46121422207</v>
      </c>
      <c r="H414" s="858">
        <f t="shared" ref="H414:M414" ca="1" si="87">H386+H364+H371+H378+H393+H400</f>
        <v>101873.46121422207</v>
      </c>
      <c r="I414" s="858">
        <f t="shared" ca="1" si="87"/>
        <v>101873.46121422207</v>
      </c>
      <c r="J414" s="858">
        <f t="shared" ca="1" si="87"/>
        <v>101873.46121422207</v>
      </c>
      <c r="K414" s="858">
        <f t="shared" ca="1" si="87"/>
        <v>101873.46121422207</v>
      </c>
      <c r="L414" s="858">
        <f t="shared" ca="1" si="87"/>
        <v>101873.46121422207</v>
      </c>
      <c r="M414" s="858">
        <f t="shared" ca="1" si="87"/>
        <v>101873.46121422207</v>
      </c>
      <c r="P414" s="52"/>
    </row>
    <row r="415" spans="2:24" ht="17.25" customHeight="1" x14ac:dyDescent="0.15">
      <c r="B415" s="128" t="s">
        <v>1236</v>
      </c>
      <c r="C415" s="8"/>
      <c r="D415" s="8"/>
      <c r="E415" s="8"/>
      <c r="F415" s="26"/>
      <c r="G415" s="125">
        <f t="shared" ref="G415:M415" ca="1" si="88">SUM(G408:G414)</f>
        <v>3642822.9455742543</v>
      </c>
      <c r="H415" s="125">
        <f t="shared" ca="1" si="88"/>
        <v>3642822.9455742543</v>
      </c>
      <c r="I415" s="125">
        <f t="shared" ca="1" si="88"/>
        <v>3642822.9455742543</v>
      </c>
      <c r="J415" s="125">
        <f t="shared" ca="1" si="88"/>
        <v>3642822.9455742543</v>
      </c>
      <c r="K415" s="125">
        <f t="shared" ca="1" si="88"/>
        <v>3642822.9455742543</v>
      </c>
      <c r="L415" s="125">
        <f t="shared" ca="1" si="88"/>
        <v>3642822.9455742543</v>
      </c>
      <c r="M415" s="125">
        <f t="shared" ca="1" si="88"/>
        <v>3642822.9455742543</v>
      </c>
      <c r="P415" s="52"/>
    </row>
    <row r="416" spans="2:24" ht="17.25" customHeight="1" x14ac:dyDescent="0.15">
      <c r="B416" s="128"/>
      <c r="C416" s="8"/>
      <c r="D416" s="8"/>
      <c r="E416" s="8"/>
      <c r="F416" s="26"/>
      <c r="G416" s="840"/>
      <c r="H416" s="840"/>
      <c r="I416" s="840"/>
      <c r="J416" s="840"/>
      <c r="K416" s="840"/>
      <c r="L416" s="840"/>
      <c r="M416" s="840"/>
      <c r="P416" s="52"/>
    </row>
    <row r="417" spans="2:16" ht="17.25" customHeight="1" x14ac:dyDescent="0.2">
      <c r="B417" s="5" t="s">
        <v>1237</v>
      </c>
      <c r="F417" s="26"/>
      <c r="G417" s="841"/>
      <c r="H417" s="841"/>
      <c r="I417" s="841"/>
      <c r="J417" s="841"/>
      <c r="K417" s="841"/>
      <c r="L417" s="841"/>
      <c r="M417" s="841"/>
      <c r="P417" s="52"/>
    </row>
    <row r="418" spans="2:16" ht="17.25" customHeight="1" x14ac:dyDescent="0.15">
      <c r="B418" s="8" t="s">
        <v>1238</v>
      </c>
      <c r="F418" s="26"/>
      <c r="G418" s="839">
        <f t="shared" ref="G418:N418" ca="1" si="89">G197+G204+G213+G223+G233+G240+G248+G255+G263+G270</f>
        <v>581.27148864333708</v>
      </c>
      <c r="H418" s="839">
        <f t="shared" ca="1" si="89"/>
        <v>581.27148864333708</v>
      </c>
      <c r="I418" s="839">
        <f t="shared" ca="1" si="89"/>
        <v>581.27148864333708</v>
      </c>
      <c r="J418" s="839">
        <f t="shared" ca="1" si="89"/>
        <v>581.27148864333708</v>
      </c>
      <c r="K418" s="839">
        <f t="shared" ca="1" si="89"/>
        <v>581.27148864333708</v>
      </c>
      <c r="L418" s="839">
        <f t="shared" ca="1" si="89"/>
        <v>581.27148864333708</v>
      </c>
      <c r="M418" s="839">
        <f t="shared" ca="1" si="89"/>
        <v>581.27148864333708</v>
      </c>
      <c r="N418" s="839">
        <f t="shared" si="89"/>
        <v>0</v>
      </c>
      <c r="P418" s="52"/>
    </row>
    <row r="419" spans="2:16" ht="17.25" customHeight="1" x14ac:dyDescent="0.15">
      <c r="B419" s="8" t="s">
        <v>1239</v>
      </c>
      <c r="F419" s="26"/>
      <c r="G419" s="839">
        <f t="shared" ref="G419:N419" ca="1" si="90">G278+G286+G293+ G300 + G307+G314+G321</f>
        <v>453.65430964160453</v>
      </c>
      <c r="H419" s="839">
        <f t="shared" ca="1" si="90"/>
        <v>453.65430964160453</v>
      </c>
      <c r="I419" s="839">
        <f t="shared" ca="1" si="90"/>
        <v>453.65430964160453</v>
      </c>
      <c r="J419" s="839">
        <f t="shared" ca="1" si="90"/>
        <v>453.65430964160453</v>
      </c>
      <c r="K419" s="839">
        <f t="shared" ca="1" si="90"/>
        <v>453.65430964160453</v>
      </c>
      <c r="L419" s="839">
        <f t="shared" ca="1" si="90"/>
        <v>453.65430964160453</v>
      </c>
      <c r="M419" s="839">
        <f t="shared" ca="1" si="90"/>
        <v>453.65430964160453</v>
      </c>
      <c r="N419" s="839">
        <f t="shared" si="90"/>
        <v>0</v>
      </c>
      <c r="P419" s="52"/>
    </row>
    <row r="420" spans="2:16" ht="17.25" customHeight="1" x14ac:dyDescent="0.15">
      <c r="B420" s="8" t="s">
        <v>1240</v>
      </c>
      <c r="F420" s="26"/>
      <c r="G420" s="839">
        <f t="shared" ref="G420:N420" ca="1" si="91">G331</f>
        <v>761.76865253713606</v>
      </c>
      <c r="H420" s="839">
        <f t="shared" ca="1" si="91"/>
        <v>761.76865253713606</v>
      </c>
      <c r="I420" s="839">
        <f t="shared" ca="1" si="91"/>
        <v>761.76865253713606</v>
      </c>
      <c r="J420" s="839">
        <f t="shared" ca="1" si="91"/>
        <v>761.76865253713606</v>
      </c>
      <c r="K420" s="839">
        <f t="shared" ca="1" si="91"/>
        <v>761.76865253713606</v>
      </c>
      <c r="L420" s="839">
        <f t="shared" ca="1" si="91"/>
        <v>761.76865253713606</v>
      </c>
      <c r="M420" s="839">
        <f t="shared" ca="1" si="91"/>
        <v>761.76865253713606</v>
      </c>
      <c r="N420" s="839">
        <f t="shared" si="91"/>
        <v>0</v>
      </c>
      <c r="P420" s="52"/>
    </row>
    <row r="421" spans="2:16" ht="17.25" customHeight="1" x14ac:dyDescent="0.15">
      <c r="B421" s="8" t="s">
        <v>1241</v>
      </c>
      <c r="F421" s="26"/>
      <c r="G421" s="839">
        <f t="shared" ref="G421:M421" si="92">G340</f>
        <v>101.2</v>
      </c>
      <c r="H421" s="839">
        <f t="shared" si="92"/>
        <v>101.2</v>
      </c>
      <c r="I421" s="839">
        <f t="shared" si="92"/>
        <v>101.2</v>
      </c>
      <c r="J421" s="839">
        <f t="shared" si="92"/>
        <v>101.2</v>
      </c>
      <c r="K421" s="839">
        <f t="shared" si="92"/>
        <v>101.2</v>
      </c>
      <c r="L421" s="839">
        <f t="shared" si="92"/>
        <v>101.2</v>
      </c>
      <c r="M421" s="839">
        <f t="shared" si="92"/>
        <v>101.2</v>
      </c>
      <c r="N421" s="839">
        <f>N340+N349</f>
        <v>0</v>
      </c>
      <c r="P421" s="52"/>
    </row>
    <row r="422" spans="2:16" ht="17.25" customHeight="1" x14ac:dyDescent="0.15">
      <c r="B422" s="8" t="s">
        <v>1242</v>
      </c>
      <c r="F422" s="26"/>
      <c r="G422" s="839">
        <f t="shared" ref="G422:M422" si="93">G349</f>
        <v>86.48</v>
      </c>
      <c r="H422" s="839">
        <f t="shared" si="93"/>
        <v>86.48</v>
      </c>
      <c r="I422" s="839">
        <f t="shared" si="93"/>
        <v>86.48</v>
      </c>
      <c r="J422" s="839">
        <f t="shared" si="93"/>
        <v>86.48</v>
      </c>
      <c r="K422" s="839">
        <f t="shared" si="93"/>
        <v>86.48</v>
      </c>
      <c r="L422" s="839">
        <f t="shared" si="93"/>
        <v>86.48</v>
      </c>
      <c r="M422" s="839">
        <f t="shared" si="93"/>
        <v>86.48</v>
      </c>
      <c r="N422" s="839"/>
      <c r="P422" s="52"/>
    </row>
    <row r="423" spans="2:16" ht="12.75" customHeight="1" x14ac:dyDescent="0.15">
      <c r="B423" s="8" t="s">
        <v>1243</v>
      </c>
      <c r="F423" s="26"/>
      <c r="G423" s="839">
        <f t="shared" ref="G423:N423" ca="1" si="94">G357</f>
        <v>170.00000000002868</v>
      </c>
      <c r="H423" s="839">
        <f t="shared" ca="1" si="94"/>
        <v>170.00000000002868</v>
      </c>
      <c r="I423" s="839">
        <f t="shared" ca="1" si="94"/>
        <v>170.00000000002868</v>
      </c>
      <c r="J423" s="839">
        <f t="shared" ca="1" si="94"/>
        <v>170.00000000002868</v>
      </c>
      <c r="K423" s="839">
        <f t="shared" ca="1" si="94"/>
        <v>170.00000000002868</v>
      </c>
      <c r="L423" s="839">
        <f t="shared" ca="1" si="94"/>
        <v>170.00000000002868</v>
      </c>
      <c r="M423" s="839">
        <f t="shared" ca="1" si="94"/>
        <v>170.00000000002868</v>
      </c>
      <c r="N423" s="839">
        <f t="shared" si="94"/>
        <v>0</v>
      </c>
      <c r="P423" s="52"/>
    </row>
    <row r="424" spans="2:16" ht="17.25" customHeight="1" x14ac:dyDescent="0.15">
      <c r="B424" s="8" t="s">
        <v>1244</v>
      </c>
      <c r="F424" s="26"/>
      <c r="G424" s="839">
        <f ca="1">G387+G365+G372+G379+G394+G401</f>
        <v>1465.5958711899311</v>
      </c>
      <c r="H424" s="839">
        <f t="shared" ref="H424:M424" ca="1" si="95">H387+H365+H372+H379+H394+H401</f>
        <v>1465.5958711899311</v>
      </c>
      <c r="I424" s="839">
        <f t="shared" ca="1" si="95"/>
        <v>1465.5958711899311</v>
      </c>
      <c r="J424" s="839">
        <f t="shared" ca="1" si="95"/>
        <v>1465.5958711899311</v>
      </c>
      <c r="K424" s="839">
        <f t="shared" ca="1" si="95"/>
        <v>1465.5958711899311</v>
      </c>
      <c r="L424" s="839">
        <f t="shared" ca="1" si="95"/>
        <v>1465.5958711899311</v>
      </c>
      <c r="M424" s="839">
        <f t="shared" ca="1" si="95"/>
        <v>1465.5958711899311</v>
      </c>
      <c r="N424" s="839">
        <f>N387+N365+N372+N379</f>
        <v>0</v>
      </c>
      <c r="P424" s="52"/>
    </row>
    <row r="425" spans="2:16" ht="15" customHeight="1" x14ac:dyDescent="0.15">
      <c r="B425" s="128" t="s">
        <v>1245</v>
      </c>
      <c r="F425" s="26"/>
      <c r="G425" s="858">
        <f t="shared" ref="G425:M425" ca="1" si="96">SUM(G418:G424)</f>
        <v>3619.9703220120377</v>
      </c>
      <c r="H425" s="858">
        <f t="shared" ca="1" si="96"/>
        <v>3619.9703220120377</v>
      </c>
      <c r="I425" s="858">
        <f t="shared" ca="1" si="96"/>
        <v>3619.9703220120377</v>
      </c>
      <c r="J425" s="858">
        <f t="shared" ca="1" si="96"/>
        <v>3619.9703220120377</v>
      </c>
      <c r="K425" s="858">
        <f t="shared" ca="1" si="96"/>
        <v>3619.9703220120377</v>
      </c>
      <c r="L425" s="858">
        <f t="shared" ca="1" si="96"/>
        <v>3619.9703220120377</v>
      </c>
      <c r="M425" s="858">
        <f t="shared" ca="1" si="96"/>
        <v>3619.9703220120377</v>
      </c>
      <c r="P425" s="52"/>
    </row>
    <row r="426" spans="2:16" ht="15" customHeight="1" x14ac:dyDescent="0.15">
      <c r="B426" s="128"/>
      <c r="F426" s="26"/>
      <c r="G426" s="842"/>
      <c r="H426" s="842"/>
      <c r="I426" s="842"/>
      <c r="J426" s="842"/>
      <c r="K426" s="842"/>
      <c r="L426" s="842"/>
      <c r="M426" s="842"/>
      <c r="P426" s="52"/>
    </row>
    <row r="427" spans="2:16" ht="15" customHeight="1" x14ac:dyDescent="0.2">
      <c r="B427" s="5" t="s">
        <v>1246</v>
      </c>
      <c r="F427" s="26"/>
      <c r="G427" s="842"/>
      <c r="H427" s="842"/>
      <c r="I427" s="842"/>
      <c r="J427" s="842"/>
      <c r="K427" s="842"/>
      <c r="L427" s="842"/>
      <c r="M427" s="842"/>
      <c r="O427" s="562"/>
      <c r="P427" s="52"/>
    </row>
    <row r="428" spans="2:16" ht="15" customHeight="1" x14ac:dyDescent="0.15">
      <c r="B428" s="8" t="s">
        <v>1247</v>
      </c>
      <c r="F428" s="26"/>
      <c r="G428" s="839">
        <f t="shared" ref="G428:M428" ca="1" si="97">G198+G205+G214+G224+G234+G241+G249+G256+G264+G271</f>
        <v>56766.033672380509</v>
      </c>
      <c r="H428" s="839">
        <f t="shared" ca="1" si="97"/>
        <v>56766.033672380509</v>
      </c>
      <c r="I428" s="839">
        <f t="shared" ca="1" si="97"/>
        <v>56766.033672380509</v>
      </c>
      <c r="J428" s="839">
        <f t="shared" ca="1" si="97"/>
        <v>56766.033672380509</v>
      </c>
      <c r="K428" s="839">
        <f t="shared" ca="1" si="97"/>
        <v>56766.033672380509</v>
      </c>
      <c r="L428" s="839">
        <f t="shared" ca="1" si="97"/>
        <v>56766.033672380509</v>
      </c>
      <c r="M428" s="839">
        <f t="shared" ca="1" si="97"/>
        <v>56766.033672380509</v>
      </c>
      <c r="N428" s="728">
        <f>N198+N205+N214+N224+N234+N241+N249+N256+N264</f>
        <v>0</v>
      </c>
      <c r="P428" s="52"/>
    </row>
    <row r="429" spans="2:16" ht="15" customHeight="1" x14ac:dyDescent="0.15">
      <c r="B429" s="8" t="s">
        <v>1248</v>
      </c>
      <c r="F429" s="26"/>
      <c r="G429" s="839">
        <f t="shared" ref="G429:M429" ca="1" si="98">G279+G287+G294+ G301 + G308+G315+G322</f>
        <v>45893.10617915068</v>
      </c>
      <c r="H429" s="839">
        <f t="shared" ca="1" si="98"/>
        <v>45893.10617915068</v>
      </c>
      <c r="I429" s="839">
        <f t="shared" ca="1" si="98"/>
        <v>45893.10617915068</v>
      </c>
      <c r="J429" s="839">
        <f t="shared" ca="1" si="98"/>
        <v>45893.10617915068</v>
      </c>
      <c r="K429" s="839">
        <f t="shared" ca="1" si="98"/>
        <v>45893.10617915068</v>
      </c>
      <c r="L429" s="839">
        <f t="shared" ca="1" si="98"/>
        <v>45893.10617915068</v>
      </c>
      <c r="M429" s="839">
        <f t="shared" ca="1" si="98"/>
        <v>45893.10617915068</v>
      </c>
      <c r="P429" s="52"/>
    </row>
    <row r="430" spans="2:16" ht="15" customHeight="1" x14ac:dyDescent="0.15">
      <c r="B430" s="8" t="s">
        <v>1249</v>
      </c>
      <c r="F430" s="26"/>
      <c r="G430" s="839">
        <f t="shared" ref="G430:N430" ca="1" si="99">G332</f>
        <v>109736.18619576344</v>
      </c>
      <c r="H430" s="839">
        <f t="shared" ca="1" si="99"/>
        <v>109736.18619576344</v>
      </c>
      <c r="I430" s="839">
        <f t="shared" ca="1" si="99"/>
        <v>109736.18619576344</v>
      </c>
      <c r="J430" s="839">
        <f t="shared" ca="1" si="99"/>
        <v>109736.18619576344</v>
      </c>
      <c r="K430" s="839">
        <f t="shared" ca="1" si="99"/>
        <v>109736.18619576344</v>
      </c>
      <c r="L430" s="839">
        <f t="shared" ca="1" si="99"/>
        <v>109736.18619576344</v>
      </c>
      <c r="M430" s="839">
        <f t="shared" ca="1" si="99"/>
        <v>109736.18619576344</v>
      </c>
      <c r="N430" s="64">
        <f t="shared" si="99"/>
        <v>0</v>
      </c>
      <c r="P430" s="52"/>
    </row>
    <row r="431" spans="2:16" ht="15" customHeight="1" x14ac:dyDescent="0.15">
      <c r="B431" s="8" t="s">
        <v>1250</v>
      </c>
      <c r="F431" s="26"/>
      <c r="G431" s="839">
        <f t="shared" ref="G431:M431" si="100">G341</f>
        <v>27000</v>
      </c>
      <c r="H431" s="839">
        <f t="shared" si="100"/>
        <v>27000</v>
      </c>
      <c r="I431" s="839">
        <f t="shared" si="100"/>
        <v>27000</v>
      </c>
      <c r="J431" s="839">
        <f t="shared" si="100"/>
        <v>27000</v>
      </c>
      <c r="K431" s="839">
        <f t="shared" si="100"/>
        <v>27000</v>
      </c>
      <c r="L431" s="839">
        <f t="shared" si="100"/>
        <v>27000</v>
      </c>
      <c r="M431" s="839">
        <f t="shared" si="100"/>
        <v>27000</v>
      </c>
      <c r="N431" s="64">
        <f>N341+N350</f>
        <v>0</v>
      </c>
      <c r="P431" s="52"/>
    </row>
    <row r="432" spans="2:16" ht="15" customHeight="1" x14ac:dyDescent="0.15">
      <c r="B432" s="8" t="s">
        <v>1251</v>
      </c>
      <c r="F432" s="26"/>
      <c r="G432" s="839">
        <f t="shared" ref="G432:M432" si="101">G350</f>
        <v>27000</v>
      </c>
      <c r="H432" s="839">
        <f t="shared" si="101"/>
        <v>27000</v>
      </c>
      <c r="I432" s="839">
        <f t="shared" si="101"/>
        <v>27000</v>
      </c>
      <c r="J432" s="839">
        <f t="shared" si="101"/>
        <v>27000</v>
      </c>
      <c r="K432" s="839">
        <f t="shared" si="101"/>
        <v>27000</v>
      </c>
      <c r="L432" s="839">
        <f t="shared" si="101"/>
        <v>27000</v>
      </c>
      <c r="M432" s="839">
        <f t="shared" si="101"/>
        <v>27000</v>
      </c>
      <c r="N432" s="64"/>
      <c r="P432" s="52"/>
    </row>
    <row r="433" spans="2:20" ht="12" customHeight="1" x14ac:dyDescent="0.15">
      <c r="B433" s="8" t="s">
        <v>1252</v>
      </c>
      <c r="F433" s="26"/>
      <c r="G433" s="839">
        <f t="shared" ref="G433:M433" ca="1" si="102">G358</f>
        <v>10000.000000001688</v>
      </c>
      <c r="H433" s="839">
        <f t="shared" ca="1" si="102"/>
        <v>10000.000000001688</v>
      </c>
      <c r="I433" s="839">
        <f t="shared" ca="1" si="102"/>
        <v>10000.000000001688</v>
      </c>
      <c r="J433" s="839">
        <f t="shared" ca="1" si="102"/>
        <v>10000.000000001688</v>
      </c>
      <c r="K433" s="839">
        <f t="shared" ca="1" si="102"/>
        <v>10000.000000001688</v>
      </c>
      <c r="L433" s="839">
        <f t="shared" ca="1" si="102"/>
        <v>10000.000000001688</v>
      </c>
      <c r="M433" s="839">
        <f t="shared" ca="1" si="102"/>
        <v>10000.000000001688</v>
      </c>
      <c r="P433" s="52"/>
    </row>
    <row r="434" spans="2:20" ht="15" customHeight="1" x14ac:dyDescent="0.15">
      <c r="B434" s="8" t="s">
        <v>1253</v>
      </c>
      <c r="F434" s="26"/>
      <c r="G434" s="839">
        <f ca="1">G366+G373+G380+G388+G395+G402</f>
        <v>5665.6655903671899</v>
      </c>
      <c r="H434" s="839">
        <f t="shared" ref="H434:N434" ca="1" si="103">H366+H373+H380+H388+H395+H402</f>
        <v>5665.6655903671899</v>
      </c>
      <c r="I434" s="839">
        <f t="shared" ca="1" si="103"/>
        <v>5665.6655903671899</v>
      </c>
      <c r="J434" s="839">
        <f t="shared" ca="1" si="103"/>
        <v>5665.6655903671899</v>
      </c>
      <c r="K434" s="839">
        <f t="shared" ca="1" si="103"/>
        <v>5665.6655903671899</v>
      </c>
      <c r="L434" s="839">
        <f t="shared" ca="1" si="103"/>
        <v>5665.6655903671899</v>
      </c>
      <c r="M434" s="839">
        <f t="shared" ca="1" si="103"/>
        <v>5665.6655903671899</v>
      </c>
      <c r="N434" s="839">
        <f t="shared" si="103"/>
        <v>0</v>
      </c>
      <c r="P434" s="52"/>
    </row>
    <row r="435" spans="2:20" ht="14.25" customHeight="1" x14ac:dyDescent="0.15">
      <c r="B435" s="128" t="s">
        <v>1254</v>
      </c>
      <c r="F435" s="26"/>
      <c r="G435" s="77">
        <f ca="1">SUM(G428:G434)</f>
        <v>282060.99163766351</v>
      </c>
      <c r="H435" s="77">
        <f t="shared" ref="H435:M435" ca="1" si="104">SUM(H428:H434)</f>
        <v>282060.99163766351</v>
      </c>
      <c r="I435" s="77">
        <f t="shared" ca="1" si="104"/>
        <v>282060.99163766351</v>
      </c>
      <c r="J435" s="77">
        <f t="shared" ca="1" si="104"/>
        <v>282060.99163766351</v>
      </c>
      <c r="K435" s="77">
        <f t="shared" ca="1" si="104"/>
        <v>282060.99163766351</v>
      </c>
      <c r="L435" s="77">
        <f t="shared" ca="1" si="104"/>
        <v>282060.99163766351</v>
      </c>
      <c r="M435" s="77">
        <f t="shared" ca="1" si="104"/>
        <v>282060.99163766351</v>
      </c>
      <c r="P435" s="52"/>
    </row>
    <row r="436" spans="2:20" x14ac:dyDescent="0.15">
      <c r="G436" s="26"/>
      <c r="H436" s="26"/>
      <c r="I436" s="26"/>
      <c r="J436" s="26"/>
      <c r="K436" s="26"/>
      <c r="L436" s="26"/>
      <c r="M436" s="26"/>
      <c r="N436" s="44"/>
      <c r="O436" s="44"/>
      <c r="P436" s="44"/>
      <c r="R436" s="52"/>
      <c r="S436" s="52"/>
      <c r="T436" s="52"/>
    </row>
    <row r="437" spans="2:20" ht="16" x14ac:dyDescent="0.2">
      <c r="B437" s="5" t="s">
        <v>1255</v>
      </c>
      <c r="F437" s="26"/>
      <c r="G437" s="842"/>
      <c r="N437" s="44"/>
      <c r="O437" s="44"/>
      <c r="P437" s="371"/>
      <c r="R437" s="52"/>
      <c r="S437" s="52"/>
      <c r="T437" s="52"/>
    </row>
    <row r="438" spans="2:20" x14ac:dyDescent="0.15">
      <c r="B438" s="8" t="s">
        <v>1256</v>
      </c>
      <c r="F438" s="26"/>
      <c r="G438" s="839">
        <f ca="1">(G199+G206+G217+G227+G235+G242+G250+G257+G265+G272)*24*'Cost Input'!$F$81/1000000</f>
        <v>494.43014689212112</v>
      </c>
      <c r="H438" s="839">
        <f ca="1">(H199+H206+H217+H227+H235+H242+H250+H257+H265+H272)*24*'Cost Input'!$F$81/1000000</f>
        <v>494.43014689212112</v>
      </c>
      <c r="I438" s="839">
        <f ca="1">(I199+I206+I217+I227+I235+I242+I250+I257+I265+I272)*24*'Cost Input'!$F$81/1000000</f>
        <v>494.43014689212112</v>
      </c>
      <c r="J438" s="839">
        <f ca="1">(J199+J206+J217+J227+J235+J242+J250+J257+J265+J272)*24*'Cost Input'!$F$81/1000000</f>
        <v>494.43014689212112</v>
      </c>
      <c r="K438" s="839">
        <f ca="1">(K199+K206+K217+K227+K235+K242+K250+K257+K265+K272)*24*'Cost Input'!$F$81/1000000</f>
        <v>494.43014689212112</v>
      </c>
      <c r="L438" s="839">
        <f ca="1">(L199+L206+L217+L227+L235+L242+L250+L257+L265+L272)*24*'Cost Input'!$F$81/1000000</f>
        <v>494.43014689212112</v>
      </c>
      <c r="M438" s="839">
        <f ca="1">(M199+M206+M217+M227+M235+M242+M250+M257+M265+M272)*24*'Cost Input'!$F$81/1000000</f>
        <v>494.43014689212112</v>
      </c>
      <c r="N438" s="44"/>
      <c r="O438" s="44"/>
      <c r="P438" s="36"/>
      <c r="R438" s="52"/>
      <c r="S438" s="52"/>
      <c r="T438" s="52"/>
    </row>
    <row r="439" spans="2:20" x14ac:dyDescent="0.15">
      <c r="B439" s="8" t="s">
        <v>1257</v>
      </c>
      <c r="F439" s="26"/>
      <c r="G439" s="839">
        <f ca="1">(G280+G288+G295+ G302 + G309+G316+G323)*24*'Cost Input'!$F$81/1000000</f>
        <v>92.666613985521352</v>
      </c>
      <c r="H439" s="839">
        <f ca="1">(H280+H288+H295+ H302 + H309+H316+H323)*24*'Cost Input'!$F$81/1000000</f>
        <v>92.666613985521352</v>
      </c>
      <c r="I439" s="839">
        <f ca="1">(I280+I288+I295+ I302 + I309+I316+I323)*24*'Cost Input'!$F$81/1000000</f>
        <v>92.666613985521352</v>
      </c>
      <c r="J439" s="839">
        <f ca="1">(J280+J288+J295+ J302 + J309+J316+J323)*24*'Cost Input'!$F$81/1000000</f>
        <v>92.666613985521352</v>
      </c>
      <c r="K439" s="839">
        <f ca="1">(K280+K288+K295+ K302 + K309+K316+K323)*24*'Cost Input'!$F$81/1000000</f>
        <v>92.666613985521352</v>
      </c>
      <c r="L439" s="839">
        <f ca="1">(L280+L288+L295+ L302 + L309+L316+L323)*24*'Cost Input'!$F$81/1000000</f>
        <v>92.666613985521352</v>
      </c>
      <c r="M439" s="839">
        <f ca="1">(M280+M288+M295+ M302 + M309+M316+M323)*24*'Cost Input'!$F$81/1000000</f>
        <v>92.666613985521352</v>
      </c>
      <c r="N439" s="44"/>
      <c r="O439" s="44"/>
      <c r="P439" s="36"/>
      <c r="R439" s="52"/>
      <c r="S439" s="52"/>
      <c r="T439" s="52"/>
    </row>
    <row r="440" spans="2:20" x14ac:dyDescent="0.15">
      <c r="B440" s="8" t="s">
        <v>1258</v>
      </c>
      <c r="F440" s="26"/>
      <c r="G440" s="839">
        <f ca="1">G333*24*'Cost Input'!$F$81/1000000</f>
        <v>551.71863307567787</v>
      </c>
      <c r="H440" s="839">
        <f ca="1">H333*24*'Cost Input'!$F$81/1000000</f>
        <v>551.71863307567787</v>
      </c>
      <c r="I440" s="839">
        <f ca="1">I333*24*'Cost Input'!$F$81/1000000</f>
        <v>551.71863307567787</v>
      </c>
      <c r="J440" s="839">
        <f ca="1">J333*24*'Cost Input'!$F$81/1000000</f>
        <v>551.71863307567787</v>
      </c>
      <c r="K440" s="839">
        <f ca="1">K333*24*'Cost Input'!$F$81/1000000</f>
        <v>551.71863307567787</v>
      </c>
      <c r="L440" s="839">
        <f ca="1">L333*24*'Cost Input'!$F$81/1000000</f>
        <v>551.71863307567787</v>
      </c>
      <c r="M440" s="839">
        <f ca="1">M333*24*'Cost Input'!$F$81/1000000</f>
        <v>551.71863307567787</v>
      </c>
      <c r="N440" s="44"/>
      <c r="O440" s="44"/>
      <c r="P440" s="36"/>
      <c r="R440" s="52"/>
      <c r="S440" s="52"/>
      <c r="T440" s="52"/>
    </row>
    <row r="441" spans="2:20" x14ac:dyDescent="0.15">
      <c r="B441" s="8" t="s">
        <v>1259</v>
      </c>
      <c r="G441" s="839">
        <f>G342*24*'Cost Input'!$F$81/1000000</f>
        <v>23.808</v>
      </c>
      <c r="H441" s="839">
        <f>H342*24*'Cost Input'!$F$81/1000000</f>
        <v>23.808</v>
      </c>
      <c r="I441" s="839">
        <f>I342*24*'Cost Input'!$F$81/1000000</f>
        <v>23.808</v>
      </c>
      <c r="J441" s="839">
        <f>J342*24*'Cost Input'!$F$81/1000000</f>
        <v>23.808</v>
      </c>
      <c r="K441" s="839">
        <f>K342*24*'Cost Input'!$F$81/1000000</f>
        <v>23.808</v>
      </c>
      <c r="L441" s="839">
        <f>L342*24*'Cost Input'!$F$81/1000000</f>
        <v>23.808</v>
      </c>
      <c r="M441" s="839">
        <f>M342*24*'Cost Input'!$F$81/1000000</f>
        <v>23.808</v>
      </c>
      <c r="N441" s="44"/>
      <c r="O441" s="44"/>
      <c r="P441" s="36"/>
      <c r="R441" s="52"/>
      <c r="S441" s="52"/>
      <c r="T441" s="52"/>
    </row>
    <row r="442" spans="2:20" x14ac:dyDescent="0.15">
      <c r="B442" s="8" t="s">
        <v>1260</v>
      </c>
      <c r="F442" s="26"/>
      <c r="G442" s="839">
        <f>G351*24*'Cost Input'!$F$81/1000000</f>
        <v>20.736000000000001</v>
      </c>
      <c r="H442" s="839">
        <f>H351*24*'Cost Input'!$F$81/1000000</f>
        <v>20.736000000000001</v>
      </c>
      <c r="I442" s="839">
        <f>I351*24*'Cost Input'!$F$81/1000000</f>
        <v>20.736000000000001</v>
      </c>
      <c r="J442" s="839">
        <f>J351*24*'Cost Input'!$F$81/1000000</f>
        <v>20.736000000000001</v>
      </c>
      <c r="K442" s="839">
        <f>K351*24*'Cost Input'!$F$81/1000000</f>
        <v>20.736000000000001</v>
      </c>
      <c r="L442" s="839">
        <f>L351*24*'Cost Input'!$F$81/1000000</f>
        <v>20.736000000000001</v>
      </c>
      <c r="M442" s="839">
        <f>M351*24*'Cost Input'!$F$81/1000000</f>
        <v>20.736000000000001</v>
      </c>
      <c r="N442" s="44"/>
      <c r="O442" s="44"/>
      <c r="P442" s="36"/>
      <c r="R442" s="1157"/>
      <c r="S442" s="52"/>
      <c r="T442" s="52"/>
    </row>
    <row r="443" spans="2:20" x14ac:dyDescent="0.15">
      <c r="B443" s="8" t="s">
        <v>1261</v>
      </c>
      <c r="F443" s="26"/>
      <c r="G443" s="839">
        <f ca="1">G359*24*'Cost Input'!$F$81/1000000</f>
        <v>59.136000000010505</v>
      </c>
      <c r="H443" s="839">
        <f ca="1">H359*24*'Cost Input'!$F$81/1000000</f>
        <v>59.136000000010505</v>
      </c>
      <c r="I443" s="839">
        <f ca="1">I359*24*'Cost Input'!$F$81/1000000</f>
        <v>59.136000000010505</v>
      </c>
      <c r="J443" s="839">
        <f ca="1">J359*24*'Cost Input'!$F$81/1000000</f>
        <v>59.136000000010505</v>
      </c>
      <c r="K443" s="839">
        <f ca="1">K359*24*'Cost Input'!$F$81/1000000</f>
        <v>59.136000000010505</v>
      </c>
      <c r="L443" s="839">
        <f ca="1">L359*24*'Cost Input'!$F$81/1000000</f>
        <v>59.136000000010505</v>
      </c>
      <c r="M443" s="839">
        <f ca="1">M359*24*'Cost Input'!$F$81/1000000</f>
        <v>59.136000000010505</v>
      </c>
      <c r="N443" s="44"/>
      <c r="O443" s="44"/>
      <c r="P443" s="36"/>
      <c r="R443" s="1157"/>
      <c r="S443" s="52"/>
      <c r="T443" s="52"/>
    </row>
    <row r="444" spans="2:20" x14ac:dyDescent="0.15">
      <c r="B444" s="8" t="s">
        <v>1262</v>
      </c>
      <c r="F444" s="26"/>
      <c r="G444" s="839">
        <f ca="1">(G389+G367+G374+G381+G396+G403)*24*'Cost Input'!$F$81/1000000</f>
        <v>679.41745339665795</v>
      </c>
      <c r="H444" s="839">
        <f ca="1">(H389+H367+H374+H381+H396+H403)*24*'Cost Input'!$F$81/1000000</f>
        <v>679.41745339665795</v>
      </c>
      <c r="I444" s="839">
        <f ca="1">(I389+I367+I374+I381+I396+I403)*24*'Cost Input'!$F$81/1000000</f>
        <v>679.41745339665795</v>
      </c>
      <c r="J444" s="839">
        <f ca="1">(J389+J367+J374+J381+J396+J403)*24*'Cost Input'!$F$81/1000000</f>
        <v>679.41745339665795</v>
      </c>
      <c r="K444" s="839">
        <f ca="1">(K389+K367+K374+K381+K396+K403)*24*'Cost Input'!$F$81/1000000</f>
        <v>679.41745339665795</v>
      </c>
      <c r="L444" s="839">
        <f ca="1">(L389+L367+L374+L381+L396+L403)*24*'Cost Input'!$F$81/1000000</f>
        <v>679.41745339665795</v>
      </c>
      <c r="M444" s="839">
        <f ca="1">(M389+M367+M374+M381+M396+M403)*24*'Cost Input'!$F$81/1000000</f>
        <v>679.41745339665795</v>
      </c>
      <c r="N444" s="44"/>
      <c r="O444" s="44"/>
      <c r="P444" s="36"/>
      <c r="R444" s="52"/>
      <c r="S444" s="52"/>
      <c r="T444" s="52"/>
    </row>
    <row r="445" spans="2:20" x14ac:dyDescent="0.15">
      <c r="B445" s="128" t="s">
        <v>1263</v>
      </c>
      <c r="F445" s="26"/>
      <c r="G445" s="77">
        <f ca="1">SUM(G438:G444)</f>
        <v>1921.9128473499889</v>
      </c>
      <c r="H445" s="77">
        <f t="shared" ref="H445:M445" ca="1" si="105">SUM(H438:H444)</f>
        <v>1921.9128473499889</v>
      </c>
      <c r="I445" s="77">
        <f t="shared" ca="1" si="105"/>
        <v>1921.9128473499889</v>
      </c>
      <c r="J445" s="77">
        <f t="shared" ca="1" si="105"/>
        <v>1921.9128473499889</v>
      </c>
      <c r="K445" s="77">
        <f t="shared" ca="1" si="105"/>
        <v>1921.9128473499889</v>
      </c>
      <c r="L445" s="77">
        <f t="shared" ca="1" si="105"/>
        <v>1921.9128473499889</v>
      </c>
      <c r="M445" s="77">
        <f t="shared" ca="1" si="105"/>
        <v>1921.9128473499889</v>
      </c>
      <c r="N445" s="44"/>
      <c r="O445" s="44"/>
      <c r="P445" s="36"/>
      <c r="R445" s="35"/>
      <c r="S445" s="52"/>
      <c r="T445" s="52"/>
    </row>
    <row r="446" spans="2:20" x14ac:dyDescent="0.15">
      <c r="B446" s="128"/>
      <c r="F446" s="26"/>
      <c r="G446" s="77"/>
      <c r="N446" s="44"/>
      <c r="O446" s="44"/>
      <c r="P446" s="44"/>
      <c r="R446" s="52"/>
      <c r="S446" s="52"/>
      <c r="T446" s="52"/>
    </row>
    <row r="447" spans="2:20" ht="16" x14ac:dyDescent="0.2">
      <c r="B447" s="5" t="s">
        <v>1264</v>
      </c>
      <c r="E447" s="8"/>
      <c r="F447" s="8"/>
      <c r="G447" s="8"/>
      <c r="H447" s="8"/>
      <c r="I447" s="8"/>
      <c r="J447" s="8"/>
      <c r="K447" s="8"/>
      <c r="L447" s="8"/>
      <c r="M447" s="8"/>
      <c r="N447" s="44"/>
      <c r="O447" s="44"/>
      <c r="P447" s="44"/>
      <c r="Q447" s="52"/>
      <c r="R447" s="52"/>
      <c r="S447" s="52"/>
      <c r="T447" s="52"/>
    </row>
    <row r="448" spans="2:20" x14ac:dyDescent="0.15">
      <c r="B448" s="8" t="s">
        <v>1173</v>
      </c>
      <c r="C448" s="8"/>
      <c r="D448" s="8"/>
      <c r="E448" s="8"/>
      <c r="F448" s="8"/>
      <c r="G448" s="95">
        <f ca="1">SUM(G408:G410)+G413*G27+G414</f>
        <v>3294156.2789075868</v>
      </c>
      <c r="H448" s="95">
        <f t="shared" ref="H448:M448" ca="1" si="106">SUM(H408:H410)+H413*H27+H414</f>
        <v>3294156.2789075868</v>
      </c>
      <c r="I448" s="95">
        <f t="shared" ca="1" si="106"/>
        <v>3294156.2789075868</v>
      </c>
      <c r="J448" s="95">
        <f t="shared" ca="1" si="106"/>
        <v>3294156.2789075868</v>
      </c>
      <c r="K448" s="95">
        <f t="shared" ca="1" si="106"/>
        <v>3294156.2789075868</v>
      </c>
      <c r="L448" s="95">
        <f t="shared" ca="1" si="106"/>
        <v>3294156.2789075868</v>
      </c>
      <c r="M448" s="95">
        <f t="shared" ca="1" si="106"/>
        <v>3294156.2789075868</v>
      </c>
      <c r="N448" s="44"/>
      <c r="O448" s="371"/>
      <c r="P448" s="44"/>
      <c r="Q448" s="52"/>
      <c r="R448" s="52"/>
      <c r="S448" s="52"/>
      <c r="T448" s="52"/>
    </row>
    <row r="449" spans="1:24" x14ac:dyDescent="0.15">
      <c r="B449" s="8" t="s">
        <v>1174</v>
      </c>
      <c r="C449" s="8"/>
      <c r="D449" s="8"/>
      <c r="E449" s="8"/>
      <c r="F449" s="8"/>
      <c r="G449" s="95">
        <f t="shared" ref="G449:M449" ca="1" si="107">SUM(G418:G420)+G423*G27+G365+G372+G379+G387+G394*G451/G445+G401*G28</f>
        <v>3161.2891914465945</v>
      </c>
      <c r="H449" s="95">
        <f t="shared" ca="1" si="107"/>
        <v>3161.2891914465945</v>
      </c>
      <c r="I449" s="95">
        <f t="shared" ca="1" si="107"/>
        <v>3161.2891914465945</v>
      </c>
      <c r="J449" s="95">
        <f t="shared" ca="1" si="107"/>
        <v>3161.2891914465945</v>
      </c>
      <c r="K449" s="95">
        <f t="shared" ca="1" si="107"/>
        <v>3161.2891914465945</v>
      </c>
      <c r="L449" s="95">
        <f t="shared" ca="1" si="107"/>
        <v>3161.2891914465945</v>
      </c>
      <c r="M449" s="95">
        <f t="shared" ca="1" si="107"/>
        <v>3161.2891914465945</v>
      </c>
      <c r="N449" s="95" t="e">
        <f>SUM(N418:N420)+N423/3+N365+N372+N379+N387*N450/N435</f>
        <v>#DIV/0!</v>
      </c>
      <c r="O449" s="371"/>
      <c r="P449" s="44"/>
      <c r="Q449" s="52"/>
    </row>
    <row r="450" spans="1:24" ht="14" x14ac:dyDescent="0.2">
      <c r="B450" s="8" t="s">
        <v>1175</v>
      </c>
      <c r="C450" s="8"/>
      <c r="D450" s="8"/>
      <c r="E450" s="8"/>
      <c r="F450" s="8"/>
      <c r="G450" s="95">
        <f ca="1">SUM(G428:G430)+G433*G27+G434</f>
        <v>221394.32497099572</v>
      </c>
      <c r="H450" s="95">
        <f t="shared" ref="H450:M450" ca="1" si="108">SUM(H428:H430)+H433*H27+H434</f>
        <v>221394.32497099572</v>
      </c>
      <c r="I450" s="95">
        <f t="shared" ca="1" si="108"/>
        <v>221394.32497099572</v>
      </c>
      <c r="J450" s="95">
        <f t="shared" ca="1" si="108"/>
        <v>221394.32497099572</v>
      </c>
      <c r="K450" s="95">
        <f t="shared" ca="1" si="108"/>
        <v>221394.32497099572</v>
      </c>
      <c r="L450" s="95">
        <f t="shared" ca="1" si="108"/>
        <v>221394.32497099572</v>
      </c>
      <c r="M450" s="95">
        <f t="shared" ca="1" si="108"/>
        <v>221394.32497099572</v>
      </c>
      <c r="N450" s="44"/>
      <c r="O450" s="371"/>
      <c r="P450" s="44"/>
    </row>
    <row r="451" spans="1:24" x14ac:dyDescent="0.15">
      <c r="B451" s="8" t="s">
        <v>1265</v>
      </c>
      <c r="C451" s="8"/>
      <c r="D451" s="8"/>
      <c r="E451" s="8"/>
      <c r="F451" s="8"/>
      <c r="G451" s="95">
        <f ca="1">SUM(G438:G440)+G443*G27+((G367+G374+G381+G389+G403*G28)+G396*(SUM(G438:G440)/24/'Cost Input'!$F$81*1000000+G389+G359*G27+G367+G374+G381+G403*G28)/(G445/24/'Cost Input'!$F$81*1000000-G396))*24*'Cost Input'!$F$81/1000000</f>
        <v>1768.290392841011</v>
      </c>
      <c r="H451" s="95">
        <f ca="1">SUM(H438:H440)+H443*H27+((H367+H374+H381+H389+H403*H28)+H396*(SUM(H438:H440)/24/'Cost Input'!$F$81*1000000+H389+H359*H27+H367+H374+H381+H403*H28)/(H445/24/'Cost Input'!$F$81*1000000-H396))*24*'Cost Input'!$F$81/1000000</f>
        <v>1768.290392841011</v>
      </c>
      <c r="I451" s="95">
        <f ca="1">SUM(I438:I440)+I443*I27+((I367+I374+I381+I389+I403*I28)+I396*(SUM(I438:I440)/24/'Cost Input'!$F$81*1000000+I389+I359*I27+I367+I374+I381+I403*I28)/(I445/24/'Cost Input'!$F$81*1000000-I396))*24*'Cost Input'!$F$81/1000000</f>
        <v>1768.290392841011</v>
      </c>
      <c r="J451" s="95">
        <f ca="1">SUM(J438:J440)+J443*J27+((J367+J374+J381+J389+J403*J28)+J396*(SUM(J438:J440)/24/'Cost Input'!$F$81*1000000+J389+J359*J27+J367+J374+J381+J403*J28)/(J445/24/'Cost Input'!$F$81*1000000-J396))*24*'Cost Input'!$F$81/1000000</f>
        <v>1768.290392841011</v>
      </c>
      <c r="K451" s="95">
        <f ca="1">SUM(K438:K440)+K443*K27+((K367+K374+K381+K389+K403*K28)+K396*(SUM(K438:K440)/24/'Cost Input'!$F$81*1000000+K389+K359*K27+K367+K374+K381+K403*K28)/(K445/24/'Cost Input'!$F$81*1000000-K396))*24*'Cost Input'!$F$81/1000000</f>
        <v>1768.290392841011</v>
      </c>
      <c r="L451" s="95">
        <f ca="1">SUM(L438:L440)+L443*L27+((L367+L374+L381+L389+L403*L28)+L396*(SUM(L438:L440)/24/'Cost Input'!$F$81*1000000+L389+L359*L27+L367+L374+L381+L403*L28)/(L445/24/'Cost Input'!$F$81*1000000-L396))*24*'Cost Input'!$F$81/1000000</f>
        <v>1768.290392841011</v>
      </c>
      <c r="M451" s="95">
        <f ca="1">SUM(M438:M440)+M443*M27+((M367+M374+M381+M389+M403*M28)+M396*(SUM(M438:M440)/24/'Cost Input'!$F$81*1000000+M389+M359*M27+M367+M374+M381+M403*M28)/(M445/24/'Cost Input'!$F$81*1000000-M396))*24*'Cost Input'!$F$81/1000000</f>
        <v>1768.290392841011</v>
      </c>
      <c r="N451" s="44"/>
      <c r="O451" s="371"/>
      <c r="P451" s="44"/>
    </row>
    <row r="452" spans="1:24" s="8" customFormat="1" x14ac:dyDescent="0.15">
      <c r="A452" s="26"/>
      <c r="B452"/>
      <c r="C452"/>
      <c r="D452"/>
      <c r="E452"/>
      <c r="F452"/>
      <c r="G452"/>
      <c r="H452"/>
      <c r="I452"/>
      <c r="J452"/>
      <c r="K452"/>
      <c r="L452"/>
      <c r="M452"/>
      <c r="N452" s="371"/>
      <c r="O452" s="44"/>
      <c r="P452" s="44"/>
      <c r="Q452" s="52"/>
      <c r="R452" s="160"/>
      <c r="S452" s="161"/>
      <c r="T452" s="161"/>
      <c r="U452" s="77"/>
      <c r="V452" s="77"/>
      <c r="W452" s="77"/>
      <c r="X452" s="77"/>
    </row>
    <row r="453" spans="1:24" s="8" customFormat="1" ht="16" x14ac:dyDescent="0.2">
      <c r="A453" s="26"/>
      <c r="B453" s="5" t="s">
        <v>1266</v>
      </c>
      <c r="C453"/>
      <c r="D453"/>
      <c r="E453"/>
      <c r="F453"/>
      <c r="G453"/>
      <c r="H453"/>
      <c r="I453"/>
      <c r="J453"/>
      <c r="K453"/>
      <c r="L453"/>
      <c r="M453"/>
      <c r="N453" s="371"/>
      <c r="O453" s="44"/>
      <c r="P453" s="44"/>
      <c r="Q453" s="52"/>
      <c r="R453" s="160"/>
      <c r="S453" s="161"/>
      <c r="T453" s="161"/>
      <c r="U453" s="77"/>
      <c r="V453" s="77"/>
      <c r="W453" s="77"/>
      <c r="X453" s="77"/>
    </row>
    <row r="454" spans="1:24" s="8" customFormat="1" x14ac:dyDescent="0.15">
      <c r="A454" s="26"/>
      <c r="B454" s="8" t="s">
        <v>1173</v>
      </c>
      <c r="C454"/>
      <c r="D454"/>
      <c r="E454"/>
      <c r="F454"/>
      <c r="G454" s="36">
        <f ca="1">G411+G413*(1-G27)/2</f>
        <v>174333.33333333387</v>
      </c>
      <c r="H454" s="36">
        <f t="shared" ref="H454:M454" ca="1" si="109">H411+H413*(1-H27)/2</f>
        <v>174333.33333333387</v>
      </c>
      <c r="I454" s="36">
        <f t="shared" ca="1" si="109"/>
        <v>174333.33333333387</v>
      </c>
      <c r="J454" s="36">
        <f t="shared" ca="1" si="109"/>
        <v>174333.33333333387</v>
      </c>
      <c r="K454" s="36">
        <f t="shared" ca="1" si="109"/>
        <v>174333.33333333387</v>
      </c>
      <c r="L454" s="36">
        <f t="shared" ca="1" si="109"/>
        <v>174333.33333333387</v>
      </c>
      <c r="M454" s="36">
        <f t="shared" ca="1" si="109"/>
        <v>174333.33333333387</v>
      </c>
      <c r="N454" s="371"/>
      <c r="O454" s="44"/>
      <c r="P454" s="44"/>
      <c r="Q454" s="52"/>
      <c r="R454" s="160"/>
      <c r="S454" s="161"/>
      <c r="T454" s="161"/>
      <c r="U454" s="77"/>
      <c r="V454" s="77"/>
      <c r="W454" s="77"/>
      <c r="X454" s="77"/>
    </row>
    <row r="455" spans="1:24" s="8" customFormat="1" x14ac:dyDescent="0.15">
      <c r="A455" s="26"/>
      <c r="B455" s="8" t="s">
        <v>1174</v>
      </c>
      <c r="C455"/>
      <c r="D455"/>
      <c r="E455"/>
      <c r="F455"/>
      <c r="G455" s="36">
        <f ca="1">G421+G423*(1-G27)/2+G394*G457/G445+G401*(1-G28)/2</f>
        <v>237.16193527979416</v>
      </c>
      <c r="H455" s="36">
        <f t="shared" ref="H455:M455" ca="1" si="110">H421+H423*(1-H27)/2+H394*H457/H445+H401*(1-H28)/2</f>
        <v>237.16193527979416</v>
      </c>
      <c r="I455" s="36">
        <f t="shared" ca="1" si="110"/>
        <v>237.16193527979416</v>
      </c>
      <c r="J455" s="36">
        <f t="shared" ca="1" si="110"/>
        <v>237.16193527979416</v>
      </c>
      <c r="K455" s="36">
        <f t="shared" ca="1" si="110"/>
        <v>237.16193527979416</v>
      </c>
      <c r="L455" s="36">
        <f t="shared" ca="1" si="110"/>
        <v>237.16193527979416</v>
      </c>
      <c r="M455" s="36">
        <f t="shared" ca="1" si="110"/>
        <v>237.16193527979416</v>
      </c>
      <c r="N455" s="371"/>
      <c r="O455" s="44"/>
      <c r="P455" s="44"/>
      <c r="Q455" s="52"/>
      <c r="R455" s="160"/>
      <c r="S455" s="161"/>
      <c r="T455" s="161"/>
      <c r="U455" s="77"/>
      <c r="V455" s="77"/>
      <c r="W455" s="77"/>
      <c r="X455" s="77"/>
    </row>
    <row r="456" spans="1:24" s="8" customFormat="1" ht="14" x14ac:dyDescent="0.2">
      <c r="A456" s="26"/>
      <c r="B456" s="8" t="s">
        <v>1175</v>
      </c>
      <c r="C456"/>
      <c r="D456"/>
      <c r="E456"/>
      <c r="F456"/>
      <c r="G456" s="36">
        <f ca="1">G431+G433*(1-G27)/2</f>
        <v>30333.333333333896</v>
      </c>
      <c r="H456" s="36">
        <f t="shared" ref="H456:M456" ca="1" si="111">H431+H433*(1-H27)/2</f>
        <v>30333.333333333896</v>
      </c>
      <c r="I456" s="36">
        <f t="shared" ca="1" si="111"/>
        <v>30333.333333333896</v>
      </c>
      <c r="J456" s="36">
        <f t="shared" ca="1" si="111"/>
        <v>30333.333333333896</v>
      </c>
      <c r="K456" s="36">
        <f t="shared" ca="1" si="111"/>
        <v>30333.333333333896</v>
      </c>
      <c r="L456" s="36">
        <f t="shared" ca="1" si="111"/>
        <v>30333.333333333896</v>
      </c>
      <c r="M456" s="36">
        <f t="shared" ca="1" si="111"/>
        <v>30333.333333333896</v>
      </c>
      <c r="N456" s="371"/>
      <c r="O456" s="44"/>
      <c r="P456" s="44"/>
      <c r="Q456" s="52"/>
      <c r="R456" s="160"/>
      <c r="S456" s="161"/>
      <c r="T456" s="161"/>
      <c r="U456" s="77"/>
      <c r="V456" s="77"/>
      <c r="W456" s="77"/>
      <c r="X456" s="77"/>
    </row>
    <row r="457" spans="1:24" s="8" customFormat="1" x14ac:dyDescent="0.15">
      <c r="A457" s="26"/>
      <c r="B457" s="8" t="s">
        <v>1265</v>
      </c>
      <c r="C457"/>
      <c r="D457"/>
      <c r="E457"/>
      <c r="F457"/>
      <c r="G457" s="36">
        <f ca="1">G441+G443*(1-G27)/2+(G403*(1-G28)/2+G396*(1-G451/G445)*(G342+G359*(1-G27)/2+G403*(1-G28)/2)/(G342+G359*(1-G27)+G403*(1-G28)+G351))*24*'Cost Input'!$F$81/1000000</f>
        <v>78.548710246107717</v>
      </c>
      <c r="H457" s="36">
        <f ca="1">H441+H443*(1-H27)/2+(H403*(1-H28)/2+H396*(1-H451/H445)*(H342+H359*(1-H27)/2+H403*(1-H28)/2)/(H342+H359*(1-H27)+H403*(1-H28)+H351))*24*'Cost Input'!$F$81/1000000</f>
        <v>78.548710246107717</v>
      </c>
      <c r="I457" s="36">
        <f ca="1">I441+I443*(1-I27)/2+(I403*(1-I28)/2+I396*(1-I451/I445)*(I342+I359*(1-I27)/2+I403*(1-I28)/2)/(I342+I359*(1-I27)+I403*(1-I28)+I351))*24*'Cost Input'!$F$81/1000000</f>
        <v>78.548710246107717</v>
      </c>
      <c r="J457" s="36">
        <f ca="1">J441+J443*(1-J27)/2+(J403*(1-J28)/2+J396*(1-J451/J445)*(J342+J359*(1-J27)/2+J403*(1-J28)/2)/(J342+J359*(1-J27)+J403*(1-J28)+J351))*24*'Cost Input'!$F$81/1000000</f>
        <v>78.548710246107717</v>
      </c>
      <c r="K457" s="36">
        <f ca="1">K441+K443*(1-K27)/2+(K403*(1-K28)/2+K396*(1-K451/K445)*(K342+K359*(1-K27)/2+K403*(1-K28)/2)/(K342+K359*(1-K27)+K403*(1-K28)+K351))*24*'Cost Input'!$F$81/1000000</f>
        <v>78.548710246107717</v>
      </c>
      <c r="L457" s="36">
        <f ca="1">L441+L443*(1-L27)/2+(L403*(1-L28)/2+L396*(1-L451/L445)*(L342+L359*(1-L27)/2+L403*(1-L28)/2)/(L342+L359*(1-L27)+L403*(1-L28)+L351))*24*'Cost Input'!$F$81/1000000</f>
        <v>78.548710246107717</v>
      </c>
      <c r="M457" s="36">
        <f ca="1">M441+M443*(1-M27)/2+(M403*(1-M28)/2+M396*(1-M451/M445)*(M342+M359*(1-M27)/2+M403*(1-M28)/2)/(M342+M359*(1-M27)+M403*(1-M28)+M351))*24*'Cost Input'!$F$81/1000000</f>
        <v>78.548710246107717</v>
      </c>
      <c r="N457" s="36" t="e">
        <f>N441+N443*(1-N27)/2+(N403*(1-N28)/2+N396*(1-N451/N445)*(N342+N359*(1-N27)/2+N403*(1-N28)/2)/(N342+N359*(1-N27)+N403*(1-N28)+N351))*24*'Cost Input'!$F$81/1000000</f>
        <v>#DIV/0!</v>
      </c>
      <c r="O457" s="44"/>
      <c r="P457" s="44"/>
      <c r="Q457" s="52"/>
      <c r="R457" s="160"/>
      <c r="S457" s="161"/>
      <c r="T457" s="161"/>
      <c r="U457" s="77"/>
      <c r="V457" s="77"/>
      <c r="W457" s="77"/>
      <c r="X457" s="77"/>
    </row>
    <row r="458" spans="1:24" s="8" customFormat="1" x14ac:dyDescent="0.15">
      <c r="A458" s="26"/>
      <c r="B458"/>
      <c r="C458"/>
      <c r="D458"/>
      <c r="E458"/>
      <c r="F458"/>
      <c r="G458"/>
      <c r="H458"/>
      <c r="I458"/>
      <c r="J458"/>
      <c r="K458"/>
      <c r="L458"/>
      <c r="M458"/>
      <c r="N458" s="371"/>
      <c r="O458" s="44"/>
      <c r="P458" s="44"/>
      <c r="Q458" s="52"/>
      <c r="R458" s="160"/>
      <c r="S458" s="161"/>
      <c r="T458" s="161"/>
      <c r="U458" s="77"/>
      <c r="V458" s="77"/>
      <c r="W458" s="77"/>
      <c r="X458" s="77"/>
    </row>
    <row r="459" spans="1:24" ht="16" x14ac:dyDescent="0.2">
      <c r="B459" s="5" t="s">
        <v>1267</v>
      </c>
      <c r="N459" s="371"/>
      <c r="O459" s="44"/>
      <c r="P459" s="44"/>
      <c r="Q459" s="52"/>
      <c r="R459" s="160"/>
      <c r="S459" s="161"/>
      <c r="T459" s="161"/>
      <c r="U459" s="77"/>
      <c r="V459" s="77"/>
      <c r="W459" s="77"/>
      <c r="X459" s="77"/>
    </row>
    <row r="460" spans="1:24" x14ac:dyDescent="0.15">
      <c r="B460" s="8" t="s">
        <v>1173</v>
      </c>
      <c r="G460" s="41">
        <f ca="1">G415-G448-G454</f>
        <v>174333.33333333358</v>
      </c>
      <c r="H460" s="41">
        <f t="shared" ref="H460:N460" ca="1" si="112">H415-H448-H454</f>
        <v>174333.33333333358</v>
      </c>
      <c r="I460" s="41">
        <f t="shared" ca="1" si="112"/>
        <v>174333.33333333358</v>
      </c>
      <c r="J460" s="41">
        <f t="shared" ca="1" si="112"/>
        <v>174333.33333333358</v>
      </c>
      <c r="K460" s="41">
        <f t="shared" ca="1" si="112"/>
        <v>174333.33333333358</v>
      </c>
      <c r="L460" s="41">
        <f t="shared" ca="1" si="112"/>
        <v>174333.33333333358</v>
      </c>
      <c r="M460" s="41">
        <f t="shared" ca="1" si="112"/>
        <v>174333.33333333358</v>
      </c>
      <c r="N460" s="41">
        <f t="shared" si="112"/>
        <v>0</v>
      </c>
      <c r="O460" s="371"/>
      <c r="P460" s="44"/>
      <c r="Q460" s="52"/>
      <c r="R460" s="52"/>
      <c r="S460" s="52"/>
      <c r="T460" s="52"/>
    </row>
    <row r="461" spans="1:24" x14ac:dyDescent="0.15">
      <c r="B461" s="8" t="s">
        <v>1174</v>
      </c>
      <c r="E461" s="44"/>
      <c r="G461" s="36">
        <f ca="1">G425-G449-G455</f>
        <v>221.51919528564909</v>
      </c>
      <c r="H461" s="36">
        <f t="shared" ref="H461:N461" ca="1" si="113">H425-H449-H455</f>
        <v>221.51919528564909</v>
      </c>
      <c r="I461" s="36">
        <f t="shared" ca="1" si="113"/>
        <v>221.51919528564909</v>
      </c>
      <c r="J461" s="36">
        <f t="shared" ca="1" si="113"/>
        <v>221.51919528564909</v>
      </c>
      <c r="K461" s="36">
        <f t="shared" ca="1" si="113"/>
        <v>221.51919528564909</v>
      </c>
      <c r="L461" s="36">
        <f t="shared" ca="1" si="113"/>
        <v>221.51919528564909</v>
      </c>
      <c r="M461" s="36">
        <f t="shared" ca="1" si="113"/>
        <v>221.51919528564909</v>
      </c>
      <c r="N461" s="36" t="e">
        <f t="shared" si="113"/>
        <v>#DIV/0!</v>
      </c>
      <c r="O461" s="371"/>
      <c r="P461" s="44"/>
      <c r="Q461" s="52"/>
    </row>
    <row r="462" spans="1:24" ht="14" x14ac:dyDescent="0.2">
      <c r="B462" s="8" t="s">
        <v>1175</v>
      </c>
      <c r="G462" s="41">
        <f ca="1">G435-G450-G456</f>
        <v>30333.333333333896</v>
      </c>
      <c r="H462" s="41">
        <f t="shared" ref="H462:N462" ca="1" si="114">H435-H450-H456</f>
        <v>30333.333333333896</v>
      </c>
      <c r="I462" s="41">
        <f t="shared" ca="1" si="114"/>
        <v>30333.333333333896</v>
      </c>
      <c r="J462" s="41">
        <f t="shared" ca="1" si="114"/>
        <v>30333.333333333896</v>
      </c>
      <c r="K462" s="41">
        <f t="shared" ca="1" si="114"/>
        <v>30333.333333333896</v>
      </c>
      <c r="L462" s="41">
        <f t="shared" ca="1" si="114"/>
        <v>30333.333333333896</v>
      </c>
      <c r="M462" s="41">
        <f t="shared" ca="1" si="114"/>
        <v>30333.333333333896</v>
      </c>
      <c r="N462" s="41">
        <f t="shared" si="114"/>
        <v>0</v>
      </c>
      <c r="O462" s="371"/>
      <c r="P462" s="44"/>
    </row>
    <row r="463" spans="1:24" x14ac:dyDescent="0.15">
      <c r="B463" s="8" t="s">
        <v>1265</v>
      </c>
      <c r="G463" s="95">
        <f ca="1">G445-G451-G457</f>
        <v>75.073744262870136</v>
      </c>
      <c r="H463" s="95">
        <f t="shared" ref="H463:N463" ca="1" si="115">H445-H451-H457</f>
        <v>75.073744262870136</v>
      </c>
      <c r="I463" s="95">
        <f t="shared" ca="1" si="115"/>
        <v>75.073744262870136</v>
      </c>
      <c r="J463" s="95">
        <f t="shared" ca="1" si="115"/>
        <v>75.073744262870136</v>
      </c>
      <c r="K463" s="95">
        <f t="shared" ca="1" si="115"/>
        <v>75.073744262870136</v>
      </c>
      <c r="L463" s="95">
        <f t="shared" ca="1" si="115"/>
        <v>75.073744262870136</v>
      </c>
      <c r="M463" s="95">
        <f t="shared" ca="1" si="115"/>
        <v>75.073744262870136</v>
      </c>
      <c r="N463" s="95" t="e">
        <f t="shared" si="115"/>
        <v>#DIV/0!</v>
      </c>
      <c r="O463" s="371"/>
      <c r="P463" s="44"/>
    </row>
    <row r="464" spans="1:24" x14ac:dyDescent="0.15">
      <c r="C464" s="8"/>
      <c r="D464" s="46"/>
      <c r="E464" s="110"/>
      <c r="F464" s="113"/>
      <c r="G464" s="104"/>
      <c r="H464" s="104"/>
      <c r="I464" s="104"/>
      <c r="J464" s="104"/>
      <c r="K464" s="104"/>
      <c r="L464" s="104"/>
      <c r="M464" s="104"/>
      <c r="N464" s="44"/>
      <c r="O464" s="44"/>
      <c r="P464" s="44"/>
    </row>
    <row r="465" spans="1:24" ht="16" x14ac:dyDescent="0.2">
      <c r="B465" s="5" t="s">
        <v>1268</v>
      </c>
      <c r="C465" s="8"/>
      <c r="D465" s="8"/>
      <c r="N465" s="371"/>
      <c r="O465" s="44"/>
      <c r="P465" s="44"/>
      <c r="Q465" s="52"/>
      <c r="R465" s="160"/>
      <c r="S465" s="161"/>
      <c r="T465" s="161"/>
      <c r="U465" s="77"/>
      <c r="V465" s="77"/>
      <c r="W465" s="77"/>
      <c r="X465" s="77"/>
    </row>
    <row r="466" spans="1:24" s="8" customFormat="1" x14ac:dyDescent="0.15">
      <c r="A466" s="26" t="s">
        <v>352</v>
      </c>
      <c r="B466" s="8" t="s">
        <v>1173</v>
      </c>
      <c r="C466"/>
      <c r="D466"/>
      <c r="E466"/>
      <c r="F466"/>
      <c r="G466" s="36">
        <f ca="1">G415</f>
        <v>3642822.9455742543</v>
      </c>
      <c r="H466" s="36">
        <f t="shared" ref="H466:M466" ca="1" si="116">H415</f>
        <v>3642822.9455742543</v>
      </c>
      <c r="I466" s="36">
        <f t="shared" ca="1" si="116"/>
        <v>3642822.9455742543</v>
      </c>
      <c r="J466" s="36">
        <f t="shared" ca="1" si="116"/>
        <v>3642822.9455742543</v>
      </c>
      <c r="K466" s="36">
        <f t="shared" ca="1" si="116"/>
        <v>3642822.9455742543</v>
      </c>
      <c r="L466" s="36">
        <f t="shared" ca="1" si="116"/>
        <v>3642822.9455742543</v>
      </c>
      <c r="M466" s="36">
        <f t="shared" ca="1" si="116"/>
        <v>3642822.9455742543</v>
      </c>
      <c r="N466" s="371"/>
      <c r="O466" s="371"/>
      <c r="P466" s="44"/>
      <c r="Q466" s="52"/>
      <c r="R466" s="160"/>
      <c r="S466" s="161"/>
      <c r="T466" s="161"/>
      <c r="U466" s="77"/>
      <c r="V466" s="77"/>
      <c r="W466" s="77"/>
      <c r="X466" s="77"/>
    </row>
    <row r="467" spans="1:24" s="8" customFormat="1" x14ac:dyDescent="0.15">
      <c r="A467" s="26" t="s">
        <v>352</v>
      </c>
      <c r="B467" s="8" t="s">
        <v>1174</v>
      </c>
      <c r="C467"/>
      <c r="D467"/>
      <c r="E467" s="20"/>
      <c r="F467"/>
      <c r="G467" s="36">
        <f ca="1">G425</f>
        <v>3619.9703220120377</v>
      </c>
      <c r="H467" s="36">
        <f t="shared" ref="H467:M467" ca="1" si="117">H425</f>
        <v>3619.9703220120377</v>
      </c>
      <c r="I467" s="36">
        <f t="shared" ca="1" si="117"/>
        <v>3619.9703220120377</v>
      </c>
      <c r="J467" s="36">
        <f t="shared" ca="1" si="117"/>
        <v>3619.9703220120377</v>
      </c>
      <c r="K467" s="36">
        <f t="shared" ca="1" si="117"/>
        <v>3619.9703220120377</v>
      </c>
      <c r="L467" s="36">
        <f t="shared" ca="1" si="117"/>
        <v>3619.9703220120377</v>
      </c>
      <c r="M467" s="36">
        <f t="shared" ca="1" si="117"/>
        <v>3619.9703220120377</v>
      </c>
      <c r="N467" s="371"/>
      <c r="O467" s="371"/>
      <c r="P467" s="44"/>
      <c r="Q467" s="52"/>
      <c r="R467" s="160"/>
      <c r="S467" s="161"/>
      <c r="T467" s="161"/>
      <c r="U467" s="77"/>
      <c r="V467" s="77"/>
      <c r="W467" s="77"/>
      <c r="X467" s="77"/>
    </row>
    <row r="468" spans="1:24" s="8" customFormat="1" ht="14" x14ac:dyDescent="0.2">
      <c r="A468" s="26" t="s">
        <v>352</v>
      </c>
      <c r="B468" s="8" t="s">
        <v>1175</v>
      </c>
      <c r="C468"/>
      <c r="D468"/>
      <c r="E468"/>
      <c r="F468"/>
      <c r="G468" s="36">
        <f ca="1">G435</f>
        <v>282060.99163766351</v>
      </c>
      <c r="H468" s="36">
        <f t="shared" ref="H468:M468" ca="1" si="118">H435</f>
        <v>282060.99163766351</v>
      </c>
      <c r="I468" s="36">
        <f t="shared" ca="1" si="118"/>
        <v>282060.99163766351</v>
      </c>
      <c r="J468" s="36">
        <f t="shared" ca="1" si="118"/>
        <v>282060.99163766351</v>
      </c>
      <c r="K468" s="36">
        <f t="shared" ca="1" si="118"/>
        <v>282060.99163766351</v>
      </c>
      <c r="L468" s="36">
        <f t="shared" ca="1" si="118"/>
        <v>282060.99163766351</v>
      </c>
      <c r="M468" s="36">
        <f t="shared" ca="1" si="118"/>
        <v>282060.99163766351</v>
      </c>
      <c r="N468" s="371"/>
      <c r="O468" s="371"/>
      <c r="P468" s="44"/>
      <c r="Q468" s="52"/>
      <c r="R468" s="160"/>
      <c r="S468" s="161"/>
      <c r="T468" s="161"/>
      <c r="U468" s="77"/>
      <c r="V468" s="77"/>
      <c r="W468" s="77"/>
      <c r="X468" s="77"/>
    </row>
    <row r="469" spans="1:24" s="8" customFormat="1" x14ac:dyDescent="0.15">
      <c r="A469" s="26"/>
      <c r="B469" s="8" t="s">
        <v>1265</v>
      </c>
      <c r="C469"/>
      <c r="D469"/>
      <c r="E469"/>
      <c r="F469"/>
      <c r="G469" s="95">
        <f ca="1">G445</f>
        <v>1921.9128473499889</v>
      </c>
      <c r="H469" s="95">
        <f t="shared" ref="H469:M469" ca="1" si="119">H445</f>
        <v>1921.9128473499889</v>
      </c>
      <c r="I469" s="95">
        <f t="shared" ca="1" si="119"/>
        <v>1921.9128473499889</v>
      </c>
      <c r="J469" s="95">
        <f t="shared" ca="1" si="119"/>
        <v>1921.9128473499889</v>
      </c>
      <c r="K469" s="95">
        <f t="shared" ca="1" si="119"/>
        <v>1921.9128473499889</v>
      </c>
      <c r="L469" s="95">
        <f t="shared" ca="1" si="119"/>
        <v>1921.9128473499889</v>
      </c>
      <c r="M469" s="95">
        <f t="shared" ca="1" si="119"/>
        <v>1921.9128473499889</v>
      </c>
      <c r="N469" s="36">
        <v>2040</v>
      </c>
      <c r="O469" s="44"/>
      <c r="P469" s="44"/>
      <c r="Q469" s="52"/>
      <c r="R469" s="160"/>
      <c r="S469" s="161"/>
      <c r="T469" s="161"/>
      <c r="U469" s="77"/>
      <c r="V469" s="77"/>
      <c r="W469" s="77"/>
      <c r="X469" s="77"/>
    </row>
    <row r="470" spans="1:24" x14ac:dyDescent="0.15">
      <c r="C470" s="8"/>
      <c r="D470" s="8"/>
      <c r="G470" s="36"/>
      <c r="H470" s="36"/>
      <c r="I470" s="36"/>
      <c r="J470" s="36"/>
      <c r="K470" s="36"/>
      <c r="L470" s="36"/>
      <c r="M470" s="36"/>
      <c r="N470" s="44"/>
      <c r="O470" s="44"/>
      <c r="P470" s="44"/>
    </row>
    <row r="471" spans="1:24" ht="14" thickBot="1" x14ac:dyDescent="0.2">
      <c r="H471" s="36"/>
      <c r="N471" s="44"/>
      <c r="O471" s="44"/>
      <c r="P471" s="44"/>
    </row>
    <row r="472" spans="1:24" ht="21" thickBot="1" x14ac:dyDescent="0.25">
      <c r="B472" s="1262" t="s">
        <v>1269</v>
      </c>
      <c r="C472" s="1263"/>
      <c r="D472" s="1263"/>
      <c r="E472" s="1263"/>
      <c r="F472" s="1263"/>
      <c r="G472" s="1263"/>
      <c r="H472" s="1263"/>
      <c r="I472" s="1263"/>
      <c r="J472" s="1263"/>
      <c r="K472" s="1263"/>
      <c r="L472" s="1263"/>
      <c r="M472" s="1264"/>
      <c r="N472" s="44"/>
      <c r="O472" s="44"/>
      <c r="P472" s="44"/>
    </row>
    <row r="473" spans="1:24" x14ac:dyDescent="0.15">
      <c r="N473" s="44"/>
      <c r="O473" s="44"/>
      <c r="P473" s="44"/>
    </row>
    <row r="474" spans="1:24" ht="17.25" customHeight="1" x14ac:dyDescent="0.15">
      <c r="B474" s="8" t="s">
        <v>102</v>
      </c>
      <c r="E474" s="476">
        <f>MATCH(Dashboard!D117, Lists!BA20:BA22, 0)</f>
        <v>1</v>
      </c>
      <c r="F474" s="8" t="s">
        <v>247</v>
      </c>
      <c r="N474" s="44"/>
      <c r="O474" s="44"/>
      <c r="P474" s="44"/>
    </row>
    <row r="475" spans="1:24" x14ac:dyDescent="0.15">
      <c r="B475" s="8" t="s">
        <v>1270</v>
      </c>
      <c r="G475" s="41">
        <f>IF($E$474 = 1, G477,IF(Dashboard!D119="", G477/Dashboard!D120, Dashboard!D119))</f>
        <v>500000</v>
      </c>
      <c r="H475" s="41">
        <f>IF($E$474 = 1, H477,IF(Dashboard!E119="", H477/Dashboard!E120, Dashboard!E119))</f>
        <v>500000</v>
      </c>
      <c r="I475" s="41">
        <f>IF($E$474 = 1, I477,IF(Dashboard!F119="", I477/Dashboard!F120, Dashboard!F119))</f>
        <v>500000</v>
      </c>
      <c r="J475" s="41">
        <f>IF($E$474 = 1, J477,IF(Dashboard!G119="", J477/Dashboard!G120, Dashboard!G119))</f>
        <v>500000</v>
      </c>
      <c r="K475" s="41">
        <f>IF($E$474 = 1, K477,IF(Dashboard!H119="", K477/Dashboard!H120, Dashboard!H119))</f>
        <v>500000</v>
      </c>
      <c r="L475" s="41">
        <f>IF($E$474 = 1, L477,IF(Dashboard!I119="", L477/Dashboard!I120, Dashboard!I119))</f>
        <v>500000</v>
      </c>
      <c r="M475" s="41">
        <f>IF($E$474 = 1, M477,IF(Dashboard!J119="", M477/Dashboard!J120, Dashboard!J119))</f>
        <v>500000</v>
      </c>
      <c r="N475" s="44"/>
      <c r="O475" s="44"/>
      <c r="P475" s="44"/>
    </row>
    <row r="476" spans="1:24" x14ac:dyDescent="0.15">
      <c r="B476" s="8" t="s">
        <v>105</v>
      </c>
      <c r="G476" s="416">
        <f>IF($E$474 = 1, 1, IF(Dashboard!D120="", G477/Dashboard!D119, Dashboard!D120))</f>
        <v>1</v>
      </c>
      <c r="H476" s="416">
        <f>IF($E$474 = 1, 1, IF(Dashboard!E120="", H477/Dashboard!E119, Dashboard!E120))</f>
        <v>1</v>
      </c>
      <c r="I476" s="416">
        <f>IF($E$474 = 1, 1, IF(Dashboard!F120="", I477/Dashboard!F119, Dashboard!F120))</f>
        <v>1</v>
      </c>
      <c r="J476" s="416">
        <f>IF($E$474 = 1, 1, IF(Dashboard!G120="", J477/Dashboard!G119, Dashboard!G120))</f>
        <v>1</v>
      </c>
      <c r="K476" s="416">
        <f>IF($E$474 = 1, 1, IF(Dashboard!H120="", K477/Dashboard!H119, Dashboard!H120))</f>
        <v>1</v>
      </c>
      <c r="L476" s="416">
        <f>IF($E$474 = 1, 1, IF(Dashboard!I120="", L477/Dashboard!I119, Dashboard!I120))</f>
        <v>1</v>
      </c>
      <c r="M476" s="416">
        <f>IF($E$474 = 1, 1, IF(Dashboard!J120="", M477/Dashboard!J119, Dashboard!J120))</f>
        <v>1</v>
      </c>
      <c r="N476" s="44"/>
      <c r="O476" s="44"/>
      <c r="P476" s="44"/>
    </row>
    <row r="477" spans="1:24" x14ac:dyDescent="0.15">
      <c r="B477" s="8" t="s">
        <v>1271</v>
      </c>
      <c r="G477" s="41">
        <f t="shared" ref="G477:M477" si="120">G9</f>
        <v>500000</v>
      </c>
      <c r="H477" s="41">
        <f t="shared" si="120"/>
        <v>500000</v>
      </c>
      <c r="I477" s="41">
        <f t="shared" si="120"/>
        <v>500000</v>
      </c>
      <c r="J477" s="41">
        <f t="shared" si="120"/>
        <v>500000</v>
      </c>
      <c r="K477" s="41">
        <f t="shared" si="120"/>
        <v>500000</v>
      </c>
      <c r="L477" s="41">
        <f t="shared" si="120"/>
        <v>500000</v>
      </c>
      <c r="M477" s="41">
        <f t="shared" si="120"/>
        <v>500000</v>
      </c>
      <c r="N477" s="8"/>
      <c r="O477" s="44"/>
      <c r="P477" s="44"/>
    </row>
    <row r="478" spans="1:24" x14ac:dyDescent="0.15">
      <c r="B478" s="8"/>
      <c r="N478" s="8"/>
    </row>
    <row r="479" spans="1:24" ht="14" thickBot="1" x14ac:dyDescent="0.2">
      <c r="H479" s="95"/>
    </row>
    <row r="480" spans="1:24" ht="21" thickBot="1" x14ac:dyDescent="0.25">
      <c r="B480" s="1262" t="s">
        <v>1272</v>
      </c>
      <c r="C480" s="1263"/>
      <c r="D480" s="1263"/>
      <c r="E480" s="1263"/>
      <c r="F480" s="1263"/>
      <c r="G480" s="1263"/>
      <c r="H480" s="1263"/>
      <c r="I480" s="1263"/>
      <c r="J480" s="1263"/>
      <c r="K480" s="1263"/>
      <c r="L480" s="1263"/>
      <c r="M480" s="1264"/>
    </row>
    <row r="481" spans="2:21" ht="21" thickBot="1" x14ac:dyDescent="0.25">
      <c r="B481" s="555"/>
      <c r="C481" s="555"/>
      <c r="D481" s="555"/>
      <c r="E481" s="555"/>
      <c r="F481" s="555"/>
      <c r="G481" s="555"/>
      <c r="H481" s="555"/>
      <c r="I481" s="555"/>
      <c r="J481" s="555"/>
      <c r="K481" s="555"/>
      <c r="L481" s="555"/>
      <c r="M481" s="555"/>
    </row>
    <row r="482" spans="2:21" ht="19" thickBot="1" x14ac:dyDescent="0.25">
      <c r="B482" s="1335" t="s">
        <v>1273</v>
      </c>
      <c r="C482" s="1336"/>
      <c r="D482" s="1336"/>
      <c r="E482" s="1336"/>
      <c r="F482" s="1336"/>
      <c r="G482" s="1336"/>
      <c r="H482" s="1336"/>
      <c r="I482" s="1336"/>
      <c r="J482" s="1336"/>
      <c r="K482" s="1336"/>
      <c r="L482" s="1336"/>
      <c r="M482" s="1337"/>
    </row>
    <row r="483" spans="2:21" ht="18" x14ac:dyDescent="0.2">
      <c r="B483" s="503"/>
      <c r="C483" s="503"/>
      <c r="D483" s="503"/>
      <c r="E483" s="503"/>
      <c r="F483" s="503"/>
      <c r="G483" s="503"/>
      <c r="H483" s="503"/>
      <c r="I483" s="503"/>
      <c r="J483" s="503"/>
      <c r="K483" s="503"/>
      <c r="L483" s="503"/>
      <c r="M483" s="503"/>
    </row>
    <row r="484" spans="2:21" x14ac:dyDescent="0.15">
      <c r="B484" s="8" t="str" cm="1">
        <f t="array" ref="B484">"Pack manufacturing strategy: " &amp; INDEX(Lists!B156:B158,E484)</f>
        <v>Pack manufacturing strategy: Method 1: Packs are produced at the SAME rate (GWh/year) as cells (default)</v>
      </c>
      <c r="E484" s="476">
        <f>Lists!B155</f>
        <v>1</v>
      </c>
      <c r="F484" s="8" t="s">
        <v>247</v>
      </c>
      <c r="H484" s="95"/>
    </row>
    <row r="485" spans="2:21" x14ac:dyDescent="0.15">
      <c r="E485" s="45"/>
      <c r="H485" s="95"/>
    </row>
    <row r="486" spans="2:21" x14ac:dyDescent="0.15">
      <c r="B486" s="8" t="str" cm="1">
        <f t="array" ref="B486">"Pack cost option: " &amp; INDEX(Lists!B164:B165,E486)</f>
        <v>Pack cost option: Cost to consumer - includes pack profit/warranty (Default)</v>
      </c>
      <c r="E486" s="476">
        <f>Lists!B163</f>
        <v>1</v>
      </c>
      <c r="F486" s="8" t="s">
        <v>247</v>
      </c>
      <c r="H486" s="95"/>
    </row>
    <row r="487" spans="2:21" x14ac:dyDescent="0.15">
      <c r="H487" s="95"/>
    </row>
    <row r="488" spans="2:21" ht="14" x14ac:dyDescent="0.15">
      <c r="B488" s="1338" t="s">
        <v>248</v>
      </c>
      <c r="C488" s="1339"/>
      <c r="D488" s="1340"/>
      <c r="E488" s="948" t="s">
        <v>249</v>
      </c>
      <c r="H488" s="95"/>
    </row>
    <row r="489" spans="2:21" ht="14" x14ac:dyDescent="0.15">
      <c r="B489" s="16"/>
      <c r="C489" s="16"/>
      <c r="E489" s="863"/>
      <c r="H489" s="95"/>
    </row>
    <row r="490" spans="2:21" x14ac:dyDescent="0.15">
      <c r="B490" s="8" t="s">
        <v>250</v>
      </c>
      <c r="E490" s="476" t="str">
        <f>IF(Lists!C154=1,"x","")</f>
        <v/>
      </c>
      <c r="F490" s="26"/>
      <c r="H490" s="95"/>
    </row>
    <row r="491" spans="2:21" x14ac:dyDescent="0.15">
      <c r="B491" s="8" t="s">
        <v>251</v>
      </c>
      <c r="E491" s="476" t="str">
        <f>IF(Lists!C162=1,"x","")</f>
        <v>x</v>
      </c>
      <c r="F491" s="26"/>
      <c r="H491" s="95"/>
    </row>
    <row r="492" spans="2:21" x14ac:dyDescent="0.15">
      <c r="B492" s="8" t="s">
        <v>252</v>
      </c>
      <c r="E492" s="476" t="str">
        <f>IF(Lists!D162=1,"x","")</f>
        <v>x</v>
      </c>
      <c r="F492" s="26"/>
      <c r="H492" s="95"/>
    </row>
    <row r="493" spans="2:21" ht="14" thickBot="1" x14ac:dyDescent="0.2">
      <c r="B493" s="8"/>
      <c r="D493" s="26"/>
      <c r="E493" s="8"/>
      <c r="F493" s="26"/>
      <c r="H493" s="95"/>
    </row>
    <row r="494" spans="2:21" ht="19" thickBot="1" x14ac:dyDescent="0.25">
      <c r="B494" s="1335" t="s">
        <v>2404</v>
      </c>
      <c r="C494" s="1336"/>
      <c r="D494" s="1336"/>
      <c r="E494" s="1336"/>
      <c r="F494" s="1336"/>
      <c r="G494" s="1336"/>
      <c r="H494" s="1336"/>
      <c r="I494" s="1336"/>
      <c r="J494" s="1336"/>
      <c r="K494" s="1336"/>
      <c r="L494" s="1336"/>
      <c r="M494" s="1337"/>
    </row>
    <row r="495" spans="2:21" x14ac:dyDescent="0.15">
      <c r="H495" s="95"/>
    </row>
    <row r="496" spans="2:21" ht="16" x14ac:dyDescent="0.2">
      <c r="B496" s="799" t="s">
        <v>1274</v>
      </c>
      <c r="P496" s="32"/>
      <c r="Q496" s="32"/>
      <c r="R496" s="32"/>
      <c r="S496" s="32"/>
      <c r="T496" s="32"/>
      <c r="U496" s="32"/>
    </row>
    <row r="497" spans="2:21" ht="14" x14ac:dyDescent="0.15">
      <c r="B497" s="725" t="s">
        <v>1275</v>
      </c>
      <c r="P497" s="32"/>
      <c r="Q497" s="32"/>
      <c r="R497" s="32"/>
      <c r="S497" s="32"/>
      <c r="T497" s="32"/>
      <c r="U497" s="32"/>
    </row>
    <row r="498" spans="2:21" x14ac:dyDescent="0.15">
      <c r="B498" s="159" t="s">
        <v>1276</v>
      </c>
      <c r="C498" s="159"/>
      <c r="D498" s="159"/>
      <c r="E498" s="803"/>
      <c r="F498" s="158"/>
      <c r="G498" s="803">
        <f t="shared" ref="G498:M498" ca="1" si="121">G449</f>
        <v>3161.2891914465945</v>
      </c>
      <c r="H498" s="803">
        <f t="shared" ca="1" si="121"/>
        <v>3161.2891914465945</v>
      </c>
      <c r="I498" s="803">
        <f t="shared" ca="1" si="121"/>
        <v>3161.2891914465945</v>
      </c>
      <c r="J498" s="803">
        <f t="shared" ca="1" si="121"/>
        <v>3161.2891914465945</v>
      </c>
      <c r="K498" s="803">
        <f t="shared" ca="1" si="121"/>
        <v>3161.2891914465945</v>
      </c>
      <c r="L498" s="803">
        <f t="shared" ca="1" si="121"/>
        <v>3161.2891914465945</v>
      </c>
      <c r="M498" s="803">
        <f t="shared" ca="1" si="121"/>
        <v>3161.2891914465945</v>
      </c>
      <c r="P498" s="803"/>
      <c r="Q498" s="803"/>
      <c r="R498" s="803"/>
      <c r="S498" s="803"/>
      <c r="T498" s="803"/>
      <c r="U498" s="803"/>
    </row>
    <row r="499" spans="2:21" x14ac:dyDescent="0.15">
      <c r="B499" s="8" t="s">
        <v>1277</v>
      </c>
      <c r="C499" s="159"/>
      <c r="D499" s="159"/>
      <c r="E499" s="803"/>
      <c r="F499" s="158"/>
      <c r="G499" s="803">
        <f ca="1">G450*'Cost Input'!$F$84/1000000</f>
        <v>221.39432497099571</v>
      </c>
      <c r="H499" s="803">
        <f ca="1">H450*'Cost Input'!$F$84/1000000</f>
        <v>221.39432497099571</v>
      </c>
      <c r="I499" s="803">
        <f ca="1">I450*'Cost Input'!$F$84/1000000</f>
        <v>221.39432497099571</v>
      </c>
      <c r="J499" s="803">
        <f ca="1">J450*'Cost Input'!$F$84/1000000</f>
        <v>221.39432497099571</v>
      </c>
      <c r="K499" s="803">
        <f ca="1">K450*'Cost Input'!$F$84/1000000</f>
        <v>221.39432497099571</v>
      </c>
      <c r="L499" s="803">
        <f ca="1">L450*'Cost Input'!$F$84/1000000</f>
        <v>221.39432497099571</v>
      </c>
      <c r="M499" s="803">
        <f ca="1">M450*'Cost Input'!$F$84/1000000</f>
        <v>221.39432497099571</v>
      </c>
      <c r="P499" s="803"/>
      <c r="Q499" s="803"/>
      <c r="R499" s="803"/>
      <c r="S499" s="803"/>
      <c r="T499" s="803"/>
      <c r="U499" s="803"/>
    </row>
    <row r="500" spans="2:21" x14ac:dyDescent="0.15">
      <c r="B500" s="159" t="s">
        <v>1278</v>
      </c>
      <c r="C500" s="159"/>
      <c r="D500" s="159"/>
      <c r="E500" s="803"/>
      <c r="F500" s="158"/>
      <c r="G500" s="116">
        <f ca="1">SUM(G498:G499)*'Cost Input'!$F$85/100</f>
        <v>507.40252746263855</v>
      </c>
      <c r="H500" s="116">
        <f ca="1">SUM(H498:H499)*'Cost Input'!$F$85/100</f>
        <v>507.40252746263855</v>
      </c>
      <c r="I500" s="116">
        <f ca="1">SUM(I498:I499)*'Cost Input'!$F$85/100</f>
        <v>507.40252746263855</v>
      </c>
      <c r="J500" s="116">
        <f ca="1">SUM(J498:J499)*'Cost Input'!$F$85/100</f>
        <v>507.40252746263855</v>
      </c>
      <c r="K500" s="116">
        <f ca="1">SUM(K498:K499)*'Cost Input'!$F$85/100</f>
        <v>507.40252746263855</v>
      </c>
      <c r="L500" s="116">
        <f ca="1">SUM(L498:L499)*'Cost Input'!$F$85/100</f>
        <v>507.40252746263855</v>
      </c>
      <c r="M500" s="116">
        <f ca="1">SUM(M498:M499)*'Cost Input'!$F$85/100</f>
        <v>507.40252746263855</v>
      </c>
      <c r="P500" s="116"/>
      <c r="Q500" s="116"/>
      <c r="R500" s="116"/>
      <c r="S500" s="116"/>
      <c r="T500" s="116"/>
      <c r="U500" s="116"/>
    </row>
    <row r="501" spans="2:21" x14ac:dyDescent="0.15">
      <c r="B501" s="159" t="s">
        <v>1279</v>
      </c>
      <c r="C501" s="159"/>
      <c r="D501" s="159"/>
      <c r="E501" s="803"/>
      <c r="F501" s="158"/>
      <c r="G501" s="104">
        <f ca="1">SUM(G498:G500)</f>
        <v>3890.0860438802283</v>
      </c>
      <c r="H501" s="104">
        <f t="shared" ref="H501:M501" ca="1" si="122">SUM(H498:H500)</f>
        <v>3890.0860438802283</v>
      </c>
      <c r="I501" s="104">
        <f t="shared" ca="1" si="122"/>
        <v>3890.0860438802283</v>
      </c>
      <c r="J501" s="104">
        <f t="shared" ca="1" si="122"/>
        <v>3890.0860438802283</v>
      </c>
      <c r="K501" s="104">
        <f t="shared" ca="1" si="122"/>
        <v>3890.0860438802283</v>
      </c>
      <c r="L501" s="104">
        <f t="shared" ca="1" si="122"/>
        <v>3890.0860438802283</v>
      </c>
      <c r="M501" s="104">
        <f t="shared" ca="1" si="122"/>
        <v>3890.0860438802283</v>
      </c>
      <c r="P501" s="116"/>
      <c r="Q501" s="116"/>
      <c r="R501" s="116"/>
      <c r="S501" s="116"/>
      <c r="T501" s="116"/>
      <c r="U501" s="116"/>
    </row>
    <row r="502" spans="2:21" x14ac:dyDescent="0.15">
      <c r="B502" s="159"/>
      <c r="C502" s="159"/>
      <c r="D502" s="159"/>
      <c r="E502" s="803"/>
      <c r="F502" s="158"/>
      <c r="G502" s="104"/>
      <c r="H502" s="104"/>
      <c r="I502" s="104"/>
      <c r="J502" s="104"/>
      <c r="K502" s="104"/>
      <c r="L502" s="104"/>
      <c r="M502" s="104"/>
      <c r="P502" s="116"/>
      <c r="Q502" s="116"/>
      <c r="R502" s="116"/>
      <c r="S502" s="116"/>
      <c r="T502" s="116"/>
      <c r="U502" s="116"/>
    </row>
    <row r="503" spans="2:21" ht="14" x14ac:dyDescent="0.15">
      <c r="B503" s="725" t="s">
        <v>1280</v>
      </c>
      <c r="C503" s="159"/>
      <c r="D503" s="159"/>
      <c r="E503" s="803"/>
      <c r="F503" s="158"/>
      <c r="G503" s="104"/>
      <c r="H503" s="104"/>
      <c r="I503" s="104"/>
      <c r="J503" s="104"/>
      <c r="K503" s="104"/>
      <c r="L503" s="104"/>
      <c r="M503" s="104"/>
      <c r="P503" s="116"/>
      <c r="Q503" s="116"/>
      <c r="R503" s="116"/>
      <c r="S503" s="116"/>
      <c r="T503" s="116"/>
      <c r="U503" s="116"/>
    </row>
    <row r="504" spans="2:21" x14ac:dyDescent="0.15">
      <c r="B504" s="159" t="str">
        <f>"Launch costs (" &amp; 'Cost Input'!$F$87 &amp; "% of direct annual materials + " &amp; 'Cost Input'!$F$88 &amp; "% of other annual costs), mil$"</f>
        <v>Launch costs (5% of direct annual materials + 10% of other annual costs), mil$</v>
      </c>
      <c r="C504" s="159"/>
      <c r="D504" s="159"/>
      <c r="E504" s="803"/>
      <c r="F504" s="158"/>
      <c r="G504" s="116">
        <f ca="1">('Cost Input'!$F$87/100*G513+'Cost Input'!$F$88/100*(G514+G516+G515))*G$14/1000000</f>
        <v>221.33596379292877</v>
      </c>
      <c r="H504" s="116">
        <f ca="1">('Cost Input'!$F$87/100*H513+'Cost Input'!$F$88/100*(H514+H516+H515))*H$14/1000000</f>
        <v>221.33596379292877</v>
      </c>
      <c r="I504" s="116">
        <f ca="1">('Cost Input'!$F$87/100*I513+'Cost Input'!$F$88/100*(I514+I516+I515))*I$14/1000000</f>
        <v>221.33596379292877</v>
      </c>
      <c r="J504" s="116">
        <f ca="1">('Cost Input'!$F$87/100*J513+'Cost Input'!$F$88/100*(J514+J516+J515))*J$14/1000000</f>
        <v>221.33596379292877</v>
      </c>
      <c r="K504" s="116">
        <f ca="1">('Cost Input'!$F$87/100*K513+'Cost Input'!$F$88/100*(K514+K516+K515))*K$14/1000000</f>
        <v>221.33596379292877</v>
      </c>
      <c r="L504" s="116">
        <f ca="1">('Cost Input'!$F$87/100*L513+'Cost Input'!$F$88/100*(L514+L516+L515))*L$14/1000000</f>
        <v>221.33596379292877</v>
      </c>
      <c r="M504" s="116">
        <f ca="1">('Cost Input'!$F$87/100*M513+'Cost Input'!$F$88/100*(M514+M516+M515))*M$14/1000000</f>
        <v>221.33596379292877</v>
      </c>
      <c r="P504" s="116"/>
      <c r="Q504" s="116"/>
      <c r="R504" s="116"/>
      <c r="S504" s="116"/>
      <c r="T504" s="116"/>
      <c r="U504" s="116"/>
    </row>
    <row r="505" spans="2:21" x14ac:dyDescent="0.15">
      <c r="B505" s="159" t="str">
        <f>"Working capital (" &amp; 'Cost Input'!$F$89 &amp; "% of annual variable costs), mil$"</f>
        <v>Working capital (15% of annual variable costs), mil$</v>
      </c>
      <c r="C505" s="159"/>
      <c r="D505" s="159"/>
      <c r="E505" s="803"/>
      <c r="F505" s="158"/>
      <c r="G505" s="845">
        <f ca="1">G517*G$14/1000000*'Cost Input'!$F$89/100</f>
        <v>624.4335704258209</v>
      </c>
      <c r="H505" s="845">
        <f ca="1">H517*H$14/1000000*'Cost Input'!$F$89/100</f>
        <v>624.4335704258209</v>
      </c>
      <c r="I505" s="845">
        <f ca="1">I517*I$14/1000000*'Cost Input'!$F$89/100</f>
        <v>624.4335704258209</v>
      </c>
      <c r="J505" s="845">
        <f ca="1">J517*J$14/1000000*'Cost Input'!$F$89/100</f>
        <v>624.4335704258209</v>
      </c>
      <c r="K505" s="845">
        <f ca="1">K517*K$14/1000000*'Cost Input'!$F$89/100</f>
        <v>624.4335704258209</v>
      </c>
      <c r="L505" s="845">
        <f ca="1">L517*L$14/1000000*'Cost Input'!$F$89/100</f>
        <v>624.4335704258209</v>
      </c>
      <c r="M505" s="845">
        <f ca="1">M517*M$14/1000000*'Cost Input'!$F$89/100</f>
        <v>624.4335704258209</v>
      </c>
      <c r="P505" s="845"/>
      <c r="Q505" s="845"/>
      <c r="R505" s="845"/>
      <c r="S505" s="845"/>
      <c r="T505" s="845"/>
      <c r="U505" s="845"/>
    </row>
    <row r="506" spans="2:21" x14ac:dyDescent="0.15">
      <c r="B506" s="159" t="s">
        <v>1281</v>
      </c>
      <c r="C506" s="159"/>
      <c r="D506" s="159"/>
      <c r="E506" s="803"/>
      <c r="F506" s="158"/>
      <c r="G506" s="803">
        <f ca="1">SUM(G504:G505)</f>
        <v>845.76953421874964</v>
      </c>
      <c r="H506" s="803">
        <f t="shared" ref="H506:M506" ca="1" si="123">SUM(H504:H505)</f>
        <v>845.76953421874964</v>
      </c>
      <c r="I506" s="803">
        <f t="shared" ca="1" si="123"/>
        <v>845.76953421874964</v>
      </c>
      <c r="J506" s="803">
        <f t="shared" ca="1" si="123"/>
        <v>845.76953421874964</v>
      </c>
      <c r="K506" s="803">
        <f t="shared" ca="1" si="123"/>
        <v>845.76953421874964</v>
      </c>
      <c r="L506" s="803">
        <f t="shared" ca="1" si="123"/>
        <v>845.76953421874964</v>
      </c>
      <c r="M506" s="803">
        <f t="shared" ca="1" si="123"/>
        <v>845.76953421874964</v>
      </c>
      <c r="P506" s="845"/>
      <c r="Q506" s="845"/>
      <c r="R506" s="845"/>
      <c r="S506" s="845"/>
      <c r="T506" s="845"/>
      <c r="U506" s="845"/>
    </row>
    <row r="507" spans="2:21" x14ac:dyDescent="0.15">
      <c r="B507" s="159"/>
      <c r="C507" s="159"/>
      <c r="D507" s="159"/>
      <c r="E507" s="803"/>
      <c r="F507" s="158"/>
      <c r="G507" s="845"/>
      <c r="H507" s="845"/>
      <c r="I507" s="845"/>
      <c r="J507" s="845"/>
      <c r="K507" s="845"/>
      <c r="L507" s="845"/>
      <c r="M507" s="845"/>
      <c r="P507" s="845"/>
      <c r="Q507" s="845"/>
      <c r="R507" s="845"/>
      <c r="S507" s="845"/>
      <c r="T507" s="845"/>
      <c r="U507" s="845"/>
    </row>
    <row r="508" spans="2:21" ht="14" x14ac:dyDescent="0.15">
      <c r="B508" s="725" t="s">
        <v>1282</v>
      </c>
      <c r="C508" s="159"/>
      <c r="D508" s="159"/>
      <c r="E508" s="803"/>
      <c r="F508" s="158"/>
      <c r="G508" s="845"/>
      <c r="H508" s="845"/>
      <c r="I508" s="845"/>
      <c r="J508" s="845"/>
      <c r="K508" s="845"/>
      <c r="L508" s="845"/>
      <c r="M508" s="845"/>
      <c r="P508" s="845"/>
      <c r="Q508" s="845"/>
      <c r="R508" s="845"/>
      <c r="S508" s="845"/>
      <c r="T508" s="845"/>
      <c r="U508" s="845"/>
    </row>
    <row r="509" spans="2:21" x14ac:dyDescent="0.15">
      <c r="B509" s="159" t="s">
        <v>1283</v>
      </c>
      <c r="C509" s="159"/>
      <c r="D509" s="159"/>
      <c r="E509" s="803"/>
      <c r="F509" s="158"/>
      <c r="G509" s="803">
        <f ca="1">G501+G506</f>
        <v>4735.8555780989782</v>
      </c>
      <c r="H509" s="803">
        <f t="shared" ref="H509:M509" ca="1" si="124">H501+H506</f>
        <v>4735.8555780989782</v>
      </c>
      <c r="I509" s="803">
        <f t="shared" ca="1" si="124"/>
        <v>4735.8555780989782</v>
      </c>
      <c r="J509" s="803">
        <f t="shared" ca="1" si="124"/>
        <v>4735.8555780989782</v>
      </c>
      <c r="K509" s="803">
        <f t="shared" ca="1" si="124"/>
        <v>4735.8555780989782</v>
      </c>
      <c r="L509" s="803">
        <f t="shared" ca="1" si="124"/>
        <v>4735.8555780989782</v>
      </c>
      <c r="M509" s="803">
        <f t="shared" ca="1" si="124"/>
        <v>4735.8555780989782</v>
      </c>
      <c r="P509" s="803"/>
      <c r="Q509" s="803"/>
      <c r="R509" s="803"/>
      <c r="S509" s="803"/>
      <c r="T509" s="803"/>
      <c r="U509" s="803"/>
    </row>
    <row r="510" spans="2:21" x14ac:dyDescent="0.15">
      <c r="B510" s="159"/>
      <c r="C510" s="159"/>
      <c r="D510" s="159"/>
      <c r="E510" s="803"/>
      <c r="F510" s="158"/>
      <c r="G510" s="803"/>
      <c r="H510" s="803"/>
      <c r="I510" s="803"/>
      <c r="J510" s="803"/>
      <c r="K510" s="803"/>
      <c r="L510" s="803"/>
      <c r="M510" s="803"/>
      <c r="P510" s="803"/>
      <c r="Q510" s="803"/>
      <c r="R510" s="803"/>
      <c r="S510" s="803"/>
      <c r="T510" s="803"/>
      <c r="U510" s="803"/>
    </row>
    <row r="511" spans="2:21" ht="16" x14ac:dyDescent="0.2">
      <c r="B511" s="726" t="s">
        <v>1284</v>
      </c>
      <c r="C511" s="701"/>
      <c r="D511" s="562"/>
      <c r="E511" s="803"/>
      <c r="F511" s="158"/>
      <c r="G511" s="803"/>
      <c r="H511" s="803"/>
      <c r="I511" s="803"/>
      <c r="J511" s="803"/>
      <c r="K511" s="803"/>
      <c r="L511" s="803"/>
      <c r="M511" s="803"/>
      <c r="P511" s="803"/>
      <c r="Q511" s="803"/>
      <c r="R511" s="803"/>
      <c r="S511" s="803"/>
      <c r="T511" s="803"/>
      <c r="U511" s="803"/>
    </row>
    <row r="512" spans="2:21" ht="14" x14ac:dyDescent="0.15">
      <c r="B512" s="725" t="s">
        <v>1285</v>
      </c>
      <c r="C512" s="804"/>
      <c r="D512" s="804"/>
      <c r="E512" s="803"/>
      <c r="F512" s="158"/>
      <c r="G512" s="803"/>
      <c r="H512" s="803"/>
      <c r="I512" s="803"/>
      <c r="J512" s="803"/>
      <c r="K512" s="803"/>
      <c r="L512" s="803"/>
      <c r="M512" s="803"/>
      <c r="P512" s="803"/>
      <c r="Q512" s="803"/>
      <c r="R512" s="803"/>
      <c r="S512" s="803"/>
      <c r="T512" s="803"/>
      <c r="U512" s="803"/>
    </row>
    <row r="513" spans="2:21" x14ac:dyDescent="0.15">
      <c r="B513" s="8" t="s">
        <v>1286</v>
      </c>
      <c r="F513" s="26"/>
      <c r="G513" s="1041">
        <f t="shared" ref="G513:N513" ca="1" si="125">G152</f>
        <v>19.495308315754336</v>
      </c>
      <c r="H513" s="1041">
        <f t="shared" ca="1" si="125"/>
        <v>19.495308315754336</v>
      </c>
      <c r="I513" s="1041">
        <f t="shared" ca="1" si="125"/>
        <v>19.495308315754336</v>
      </c>
      <c r="J513" s="1041">
        <f t="shared" ca="1" si="125"/>
        <v>19.495308315754336</v>
      </c>
      <c r="K513" s="1041">
        <f t="shared" ca="1" si="125"/>
        <v>19.495308315754336</v>
      </c>
      <c r="L513" s="1041">
        <f t="shared" ca="1" si="125"/>
        <v>19.495308315754336</v>
      </c>
      <c r="M513" s="1041">
        <f t="shared" ca="1" si="125"/>
        <v>19.495308315754336</v>
      </c>
      <c r="N513" s="1041">
        <f t="shared" si="125"/>
        <v>0</v>
      </c>
      <c r="P513" s="1041"/>
      <c r="Q513" s="1041"/>
      <c r="R513" s="1041"/>
      <c r="S513" s="1041"/>
      <c r="T513" s="1041"/>
      <c r="U513" s="1041"/>
    </row>
    <row r="514" spans="2:21" x14ac:dyDescent="0.15">
      <c r="B514" s="8" t="str">
        <f>"Direct labor at $" &amp; 'Cost Input'!$F$93 &amp; "/hour, $/cell"</f>
        <v>Direct labor at $25/hour, $/cell</v>
      </c>
      <c r="C514" s="159"/>
      <c r="D514" s="159"/>
      <c r="E514" s="803"/>
      <c r="F514" s="158"/>
      <c r="G514" s="1037">
        <f ca="1">'Cost Input'!$F$93/G14*G448</f>
        <v>0.41176953486344836</v>
      </c>
      <c r="H514" s="1037">
        <f ca="1">'Cost Input'!$F$93/H14*H448</f>
        <v>0.41176953486344836</v>
      </c>
      <c r="I514" s="1037">
        <f ca="1">'Cost Input'!$F$93/I14*I448</f>
        <v>0.41176953486344836</v>
      </c>
      <c r="J514" s="1037">
        <f ca="1">'Cost Input'!$F$93/J14*J448</f>
        <v>0.41176953486344836</v>
      </c>
      <c r="K514" s="1037">
        <f ca="1">'Cost Input'!$F$93/K14*K448</f>
        <v>0.41176953486344836</v>
      </c>
      <c r="L514" s="1037">
        <f ca="1">'Cost Input'!$F$93/L14*L448</f>
        <v>0.41176953486344836</v>
      </c>
      <c r="M514" s="1037">
        <f ca="1">'Cost Input'!$F$93/M14*M448</f>
        <v>0.41176953486344836</v>
      </c>
      <c r="N514" s="1098" t="e">
        <f>'Cost Input'!$F$93/N14*N448</f>
        <v>#DIV/0!</v>
      </c>
      <c r="O514" s="8"/>
      <c r="P514" s="1037"/>
      <c r="Q514" s="1037"/>
      <c r="R514" s="1037"/>
      <c r="S514" s="1037"/>
      <c r="T514" s="1037"/>
      <c r="U514" s="1037"/>
    </row>
    <row r="515" spans="2:21" x14ac:dyDescent="0.15">
      <c r="B515" s="8" t="str">
        <f>"Energy at $"  &amp; 'Cost Input'!$F$94 &amp; "/kWh, $/cell"</f>
        <v>Energy at $0.04/kWh, $/cell</v>
      </c>
      <c r="C515" s="159"/>
      <c r="D515" s="159"/>
      <c r="E515" s="803"/>
      <c r="F515" s="158"/>
      <c r="G515" s="1037">
        <f ca="1">'Cost Input'!$F$94*G451*1000000/G14</f>
        <v>0.35365807856820219</v>
      </c>
      <c r="H515" s="1037">
        <f ca="1">'Cost Input'!$F$94*H451*1000000/H14</f>
        <v>0.35365807856820219</v>
      </c>
      <c r="I515" s="1037">
        <f ca="1">'Cost Input'!$F$94*I451*1000000/I14</f>
        <v>0.35365807856820219</v>
      </c>
      <c r="J515" s="1037">
        <f ca="1">'Cost Input'!$F$94*J451*1000000/J14</f>
        <v>0.35365807856820219</v>
      </c>
      <c r="K515" s="1037">
        <f ca="1">'Cost Input'!$F$94*K451*1000000/K14</f>
        <v>0.35365807856820219</v>
      </c>
      <c r="L515" s="1037">
        <f ca="1">'Cost Input'!$F$94*L451*1000000/L14</f>
        <v>0.35365807856820219</v>
      </c>
      <c r="M515" s="1037">
        <f ca="1">'Cost Input'!$F$94*M451*1000000/M14</f>
        <v>0.35365807856820219</v>
      </c>
      <c r="N515" s="1037" t="e">
        <f>'Cost Input'!$F$94*N451*1000000/N14</f>
        <v>#DIV/0!</v>
      </c>
      <c r="O515" s="8"/>
      <c r="P515" s="1037"/>
      <c r="Q515" s="1037"/>
      <c r="R515" s="1037"/>
      <c r="S515" s="1037"/>
      <c r="T515" s="1037"/>
      <c r="U515" s="1037"/>
    </row>
    <row r="516" spans="2:21" x14ac:dyDescent="0.15">
      <c r="B516" s="159" t="s">
        <v>1287</v>
      </c>
      <c r="C516" s="159"/>
      <c r="D516" s="159"/>
      <c r="E516" s="805"/>
      <c r="F516" s="803"/>
      <c r="G516" s="1036">
        <f ca="1">'Cost Input'!$F$96/100*G514+'Cost Input'!$F$97/100*G501/G14*1000000</f>
        <v>0.55371641833340224</v>
      </c>
      <c r="H516" s="1036">
        <f ca="1">'Cost Input'!$F$96/100*H514+'Cost Input'!$F$97/100*H501/H14*1000000</f>
        <v>0.55371641833340224</v>
      </c>
      <c r="I516" s="1036">
        <f ca="1">'Cost Input'!$F$96/100*I514+'Cost Input'!$F$97/100*I501/I14*1000000</f>
        <v>0.55371641833340224</v>
      </c>
      <c r="J516" s="1036">
        <f ca="1">'Cost Input'!$F$96/100*J514+'Cost Input'!$F$97/100*J501/J14*1000000</f>
        <v>0.55371641833340224</v>
      </c>
      <c r="K516" s="1036">
        <f ca="1">'Cost Input'!$F$96/100*K514+'Cost Input'!$F$97/100*K501/K14*1000000</f>
        <v>0.55371641833340224</v>
      </c>
      <c r="L516" s="1036">
        <f ca="1">'Cost Input'!$F$96/100*L514+'Cost Input'!$F$97/100*L501/L14*1000000</f>
        <v>0.55371641833340224</v>
      </c>
      <c r="M516" s="1036">
        <f ca="1">'Cost Input'!$F$96/100*M514+'Cost Input'!$F$97/100*M501/M14*1000000</f>
        <v>0.55371641833340224</v>
      </c>
      <c r="N516" s="1044" t="e">
        <f>'Cost Input'!$F$96/100*N514+'Cost Input'!$F$97/100*N501/N14*1000000</f>
        <v>#DIV/0!</v>
      </c>
      <c r="P516" s="1044"/>
      <c r="Q516" s="1044"/>
      <c r="R516" s="1044"/>
      <c r="S516" s="1044"/>
      <c r="T516" s="1044"/>
      <c r="U516" s="1044"/>
    </row>
    <row r="517" spans="2:21" x14ac:dyDescent="0.15">
      <c r="B517" s="159" t="s">
        <v>1288</v>
      </c>
      <c r="C517" s="159"/>
      <c r="D517" s="159"/>
      <c r="E517" s="805"/>
      <c r="F517" s="803"/>
      <c r="G517" s="1154">
        <f t="shared" ref="G517:N517" ca="1" si="126">SUM(G513:G516)</f>
        <v>20.814452347519389</v>
      </c>
      <c r="H517" s="1154">
        <f t="shared" ca="1" si="126"/>
        <v>20.814452347519389</v>
      </c>
      <c r="I517" s="1154">
        <f t="shared" ca="1" si="126"/>
        <v>20.814452347519389</v>
      </c>
      <c r="J517" s="1154">
        <f t="shared" ca="1" si="126"/>
        <v>20.814452347519389</v>
      </c>
      <c r="K517" s="1154">
        <f t="shared" ca="1" si="126"/>
        <v>20.814452347519389</v>
      </c>
      <c r="L517" s="1154">
        <f t="shared" ca="1" si="126"/>
        <v>20.814452347519389</v>
      </c>
      <c r="M517" s="1154">
        <f t="shared" ca="1" si="126"/>
        <v>20.814452347519389</v>
      </c>
      <c r="N517" s="1151" t="e">
        <f t="shared" si="126"/>
        <v>#DIV/0!</v>
      </c>
      <c r="P517" s="1044"/>
      <c r="Q517" s="1044"/>
      <c r="R517" s="1044"/>
      <c r="S517" s="1044"/>
      <c r="T517" s="1044"/>
      <c r="U517" s="1044"/>
    </row>
    <row r="518" spans="2:21" x14ac:dyDescent="0.15">
      <c r="B518" s="159"/>
      <c r="C518" s="159"/>
      <c r="D518" s="159"/>
      <c r="E518" s="805"/>
      <c r="F518" s="803"/>
      <c r="G518" s="1155"/>
      <c r="H518" s="1155"/>
      <c r="I518" s="1155"/>
      <c r="J518" s="1155"/>
      <c r="K518" s="1155"/>
      <c r="L518" s="1155"/>
      <c r="M518" s="1155"/>
      <c r="P518" s="806"/>
      <c r="Q518" s="806"/>
      <c r="R518" s="806"/>
      <c r="S518" s="806"/>
      <c r="T518" s="806"/>
      <c r="U518" s="806"/>
    </row>
    <row r="519" spans="2:21" ht="14" x14ac:dyDescent="0.15">
      <c r="B519" s="507" t="s">
        <v>1289</v>
      </c>
      <c r="C519" s="374"/>
      <c r="D519" s="32"/>
      <c r="E519" s="104"/>
      <c r="F519" s="375"/>
      <c r="G519" s="364"/>
      <c r="H519" s="364"/>
      <c r="I519" s="364"/>
      <c r="J519" s="364"/>
      <c r="K519" s="364"/>
      <c r="L519" s="364"/>
      <c r="M519" s="364"/>
      <c r="P519" s="364"/>
      <c r="Q519" s="364"/>
      <c r="R519" s="364"/>
      <c r="S519" s="364"/>
      <c r="T519" s="364"/>
      <c r="U519" s="364"/>
    </row>
    <row r="520" spans="2:21" x14ac:dyDescent="0.15">
      <c r="B520" s="8" t="s">
        <v>1290</v>
      </c>
      <c r="C520" s="95"/>
      <c r="D520" s="8"/>
      <c r="E520" s="104"/>
      <c r="F520" s="375"/>
      <c r="G520" s="1036">
        <f ca="1">('Cost Input'!$F$107/100*G498+'Cost Input'!$F$109/100*G499)*1000000/G14</f>
        <v>1.4298391841518912</v>
      </c>
      <c r="H520" s="1036">
        <f ca="1">('Cost Input'!$F$107/100*H498+'Cost Input'!$F$109/100*H499)*1000000/H14</f>
        <v>1.4298391841518912</v>
      </c>
      <c r="I520" s="1036">
        <f ca="1">('Cost Input'!$F$107/100*I498+'Cost Input'!$F$109/100*I499)*1000000/I14</f>
        <v>1.4298391841518912</v>
      </c>
      <c r="J520" s="1036">
        <f ca="1">('Cost Input'!$F$107/100*J498+'Cost Input'!$F$109/100*J499)*1000000/J14</f>
        <v>1.4298391841518912</v>
      </c>
      <c r="K520" s="1036">
        <f ca="1">('Cost Input'!$F$107/100*K498+'Cost Input'!$F$109/100*K499)*1000000/K14</f>
        <v>1.4298391841518912</v>
      </c>
      <c r="L520" s="1036">
        <f ca="1">('Cost Input'!$F$107/100*L498+'Cost Input'!$F$109/100*L499)*1000000/L14</f>
        <v>1.4298391841518912</v>
      </c>
      <c r="M520" s="1036">
        <f ca="1">('Cost Input'!$F$107/100*M498+'Cost Input'!$F$109/100*M499)*1000000/M14</f>
        <v>1.4298391841518912</v>
      </c>
      <c r="O520" s="8"/>
      <c r="P520" s="1036"/>
      <c r="Q520" s="1036"/>
      <c r="R520" s="1036"/>
      <c r="S520" s="1036"/>
      <c r="T520" s="1036"/>
      <c r="U520" s="1036"/>
    </row>
    <row r="521" spans="2:21" x14ac:dyDescent="0.15">
      <c r="B521" s="8" t="s">
        <v>1291</v>
      </c>
      <c r="C521" s="95"/>
      <c r="D521" s="8"/>
      <c r="E521" s="104"/>
      <c r="F521" s="375"/>
      <c r="G521" s="1036">
        <f ca="1">'Cost Input'!$F$101/100*(G514+G516)+'Cost Input'!$F$102/100*G501/G14*1000000</f>
        <v>0.38724971494472121</v>
      </c>
      <c r="H521" s="1036">
        <f ca="1">'Cost Input'!$F$101/100*(H514+H516)+'Cost Input'!$F$102/100*H501/H14*1000000</f>
        <v>0.38724971494472121</v>
      </c>
      <c r="I521" s="1036">
        <f ca="1">'Cost Input'!$F$101/100*(I514+I516)+'Cost Input'!$F$102/100*I501/I14*1000000</f>
        <v>0.38724971494472121</v>
      </c>
      <c r="J521" s="1036">
        <f ca="1">'Cost Input'!$F$101/100*(J514+J516)+'Cost Input'!$F$102/100*J501/J14*1000000</f>
        <v>0.38724971494472121</v>
      </c>
      <c r="K521" s="1036">
        <f ca="1">'Cost Input'!$F$101/100*(K514+K516)+'Cost Input'!$F$102/100*K501/K14*1000000</f>
        <v>0.38724971494472121</v>
      </c>
      <c r="L521" s="1036">
        <f ca="1">'Cost Input'!$F$101/100*(L514+L516)+'Cost Input'!$F$102/100*L501/L14*1000000</f>
        <v>0.38724971494472121</v>
      </c>
      <c r="M521" s="1036">
        <f ca="1">'Cost Input'!$F$101/100*(M514+M516)+'Cost Input'!$F$102/100*M501/M14*1000000</f>
        <v>0.38724971494472121</v>
      </c>
      <c r="P521" s="1036"/>
      <c r="Q521" s="1036"/>
      <c r="R521" s="1036"/>
      <c r="S521" s="1036"/>
      <c r="T521" s="1036"/>
      <c r="U521" s="1036"/>
    </row>
    <row r="522" spans="2:21" x14ac:dyDescent="0.15">
      <c r="B522" s="8" t="s">
        <v>1292</v>
      </c>
      <c r="C522" s="95"/>
      <c r="D522" s="8"/>
      <c r="E522" s="104"/>
      <c r="F522" s="375"/>
      <c r="G522" s="1036">
        <f ca="1">G520*'Cost Input'!$F$103/100</f>
        <v>0.50044371445316183</v>
      </c>
      <c r="H522" s="1036">
        <f ca="1">H520*'Cost Input'!$F$103/100</f>
        <v>0.50044371445316183</v>
      </c>
      <c r="I522" s="1036">
        <f ca="1">I520*'Cost Input'!$F$103/100</f>
        <v>0.50044371445316183</v>
      </c>
      <c r="J522" s="1036">
        <f ca="1">J520*'Cost Input'!$F$103/100</f>
        <v>0.50044371445316183</v>
      </c>
      <c r="K522" s="1036">
        <f ca="1">K520*'Cost Input'!$F$103/100</f>
        <v>0.50044371445316183</v>
      </c>
      <c r="L522" s="1036">
        <f ca="1">L520*'Cost Input'!$F$103/100</f>
        <v>0.50044371445316183</v>
      </c>
      <c r="M522" s="1036">
        <f ca="1">M520*'Cost Input'!$F$103/100</f>
        <v>0.50044371445316183</v>
      </c>
      <c r="P522" s="1036"/>
      <c r="Q522" s="1036"/>
      <c r="R522" s="1036"/>
      <c r="S522" s="1036"/>
      <c r="T522" s="1036"/>
      <c r="U522" s="1036"/>
    </row>
    <row r="523" spans="2:21" x14ac:dyDescent="0.15">
      <c r="B523" s="8" t="s">
        <v>1293</v>
      </c>
      <c r="C523" s="95"/>
      <c r="D523" s="8"/>
      <c r="E523" s="104"/>
      <c r="F523" s="375"/>
      <c r="G523" s="1036">
        <f ca="1">'Cost Input'!$F$110/100*'Manufacturing Costs'!G509/'Manufacturing Costs'!G14*1000000</f>
        <v>0.17759458417871168</v>
      </c>
      <c r="H523" s="1036">
        <f ca="1">'Cost Input'!$F$110/100*'Manufacturing Costs'!H509/'Manufacturing Costs'!H14*1000000</f>
        <v>0.17759458417871168</v>
      </c>
      <c r="I523" s="1036">
        <f ca="1">'Cost Input'!$F$110/100*'Manufacturing Costs'!I509/'Manufacturing Costs'!I14*1000000</f>
        <v>0.17759458417871168</v>
      </c>
      <c r="J523" s="1036">
        <f ca="1">'Cost Input'!$F$110/100*'Manufacturing Costs'!J509/'Manufacturing Costs'!J14*1000000</f>
        <v>0.17759458417871168</v>
      </c>
      <c r="K523" s="1036">
        <f ca="1">'Cost Input'!$F$110/100*'Manufacturing Costs'!K509/'Manufacturing Costs'!K14*1000000</f>
        <v>0.17759458417871168</v>
      </c>
      <c r="L523" s="1036">
        <f ca="1">'Cost Input'!$F$110/100*'Manufacturing Costs'!L509/'Manufacturing Costs'!L14*1000000</f>
        <v>0.17759458417871168</v>
      </c>
      <c r="M523" s="1036">
        <f ca="1">'Cost Input'!$F$110/100*'Manufacturing Costs'!M509/'Manufacturing Costs'!M14*1000000</f>
        <v>0.17759458417871168</v>
      </c>
      <c r="P523" s="1036"/>
      <c r="Q523" s="1036"/>
      <c r="R523" s="1036"/>
      <c r="S523" s="1036"/>
      <c r="T523" s="1036"/>
      <c r="U523" s="1036"/>
    </row>
    <row r="524" spans="2:21" x14ac:dyDescent="0.15">
      <c r="B524" s="8" t="s">
        <v>1294</v>
      </c>
      <c r="C524" s="95"/>
      <c r="D524" s="8"/>
      <c r="E524" s="104"/>
      <c r="F524" s="375"/>
      <c r="G524" s="1036">
        <f ca="1">G521+G522+G520+G523</f>
        <v>2.4951271977284861</v>
      </c>
      <c r="H524" s="1036">
        <f t="shared" ref="H524:M524" ca="1" si="127">H521+H522+H520+H523</f>
        <v>2.4951271977284861</v>
      </c>
      <c r="I524" s="1036">
        <f t="shared" ca="1" si="127"/>
        <v>2.4951271977284861</v>
      </c>
      <c r="J524" s="1036">
        <f t="shared" ca="1" si="127"/>
        <v>2.4951271977284861</v>
      </c>
      <c r="K524" s="1036">
        <f t="shared" ca="1" si="127"/>
        <v>2.4951271977284861</v>
      </c>
      <c r="L524" s="1036">
        <f t="shared" ca="1" si="127"/>
        <v>2.4951271977284861</v>
      </c>
      <c r="M524" s="1036">
        <f t="shared" ca="1" si="127"/>
        <v>2.4951271977284861</v>
      </c>
      <c r="P524" s="1036"/>
      <c r="Q524" s="1036"/>
      <c r="R524" s="1036"/>
      <c r="S524" s="1036"/>
      <c r="T524" s="1036"/>
      <c r="U524" s="1036"/>
    </row>
    <row r="525" spans="2:21" x14ac:dyDescent="0.15">
      <c r="B525" s="8"/>
      <c r="C525" s="95"/>
      <c r="D525" s="8"/>
      <c r="E525" s="104"/>
      <c r="F525" s="375"/>
      <c r="G525" s="95"/>
      <c r="H525" s="95"/>
      <c r="I525" s="95"/>
      <c r="J525" s="95"/>
      <c r="K525" s="95"/>
      <c r="L525" s="95"/>
      <c r="M525" s="95"/>
      <c r="P525" s="95"/>
      <c r="Q525" s="95"/>
      <c r="R525" s="95"/>
      <c r="S525" s="95"/>
      <c r="T525" s="95"/>
      <c r="U525" s="95"/>
    </row>
    <row r="526" spans="2:21" ht="14" x14ac:dyDescent="0.15">
      <c r="B526" s="507" t="s">
        <v>1295</v>
      </c>
      <c r="C526" s="95"/>
      <c r="D526" s="8"/>
      <c r="E526" s="104"/>
      <c r="F526" s="375"/>
      <c r="G526" s="95"/>
      <c r="H526" s="95"/>
      <c r="I526" s="95"/>
      <c r="J526" s="95"/>
      <c r="K526" s="95"/>
      <c r="L526" s="95"/>
      <c r="M526" s="95"/>
      <c r="P526" s="95"/>
      <c r="Q526" s="95"/>
      <c r="R526" s="95"/>
      <c r="S526" s="95"/>
      <c r="T526" s="95"/>
      <c r="U526" s="95"/>
    </row>
    <row r="527" spans="2:21" x14ac:dyDescent="0.15">
      <c r="B527" s="225" t="s">
        <v>1296</v>
      </c>
      <c r="C527" s="95"/>
      <c r="D527" s="8"/>
      <c r="E527" s="104"/>
      <c r="F527" s="375"/>
      <c r="G527" s="95"/>
      <c r="H527" s="95"/>
      <c r="I527" s="95"/>
      <c r="J527" s="95"/>
      <c r="K527" s="95"/>
      <c r="L527" s="95"/>
      <c r="M527" s="95"/>
      <c r="P527" s="95"/>
      <c r="Q527" s="95"/>
      <c r="R527" s="95"/>
      <c r="S527" s="95"/>
      <c r="T527" s="95"/>
      <c r="U527" s="95"/>
    </row>
    <row r="528" spans="2:21" x14ac:dyDescent="0.15">
      <c r="B528" s="8" t="s">
        <v>1297</v>
      </c>
      <c r="C528" s="95"/>
      <c r="D528" s="8"/>
      <c r="E528" s="855"/>
      <c r="F528" s="375"/>
      <c r="G528" s="1036">
        <f>IF(_manufact_method =3,'Cost Input'!$F$111/100*G509*1000000/G14, 0)</f>
        <v>0</v>
      </c>
      <c r="H528" s="1036">
        <f>IF(_manufact_method =3,'Cost Input'!$F$111/100*H509*1000000/H14, 0)</f>
        <v>0</v>
      </c>
      <c r="I528" s="1036">
        <f>IF(_manufact_method =3,'Cost Input'!$F$111/100*I509*1000000/I14, 0)</f>
        <v>0</v>
      </c>
      <c r="J528" s="1036">
        <f>IF(_manufact_method =3,'Cost Input'!$F$111/100*J509*1000000/J14, 0)</f>
        <v>0</v>
      </c>
      <c r="K528" s="1036">
        <f>IF(_manufact_method =3,'Cost Input'!$F$111/100*K509*1000000/K14, 0)</f>
        <v>0</v>
      </c>
      <c r="L528" s="1036">
        <f>IF(_manufact_method =3,'Cost Input'!$F$111/100*L509*1000000/L14, 0)</f>
        <v>0</v>
      </c>
      <c r="M528" s="1036">
        <f>IF(_manufact_method =3,'Cost Input'!$F$111/100*M509*1000000/M14, 0)</f>
        <v>0</v>
      </c>
      <c r="P528" s="844"/>
      <c r="Q528" s="844"/>
      <c r="R528" s="844"/>
      <c r="S528" s="844"/>
      <c r="T528" s="844"/>
      <c r="U528" s="844"/>
    </row>
    <row r="529" spans="2:21" x14ac:dyDescent="0.15">
      <c r="B529" s="8" t="s">
        <v>1298</v>
      </c>
      <c r="C529" s="95"/>
      <c r="D529" s="8"/>
      <c r="E529" s="129"/>
      <c r="F529" s="375"/>
      <c r="G529" s="1036">
        <f>IF(_manufact_method=3, 'Cost Input'!$F$112/100*(G517+G524+G528), 0)</f>
        <v>0</v>
      </c>
      <c r="H529" s="1036">
        <f>IF(_manufact_method=3, 'Cost Input'!$F$112/100*(H517+H524+H528), 0)</f>
        <v>0</v>
      </c>
      <c r="I529" s="1036">
        <f>IF(_manufact_method=3, 'Cost Input'!$F$112/100*(I517+I524+I528), 0)</f>
        <v>0</v>
      </c>
      <c r="J529" s="1036">
        <f>IF(_manufact_method=3, 'Cost Input'!$F$112/100*(J517+J524+J528), 0)</f>
        <v>0</v>
      </c>
      <c r="K529" s="1036">
        <f>IF(_manufact_method=3, 'Cost Input'!$F$112/100*(K517+K524+K528), 0)</f>
        <v>0</v>
      </c>
      <c r="L529" s="1036">
        <f>IF(_manufact_method=3, 'Cost Input'!$F$112/100*(L517+L524+L528), 0)</f>
        <v>0</v>
      </c>
      <c r="M529" s="1036">
        <f>IF(_manufact_method=3, 'Cost Input'!$F$112/100*(M517+M524+M528), 0)</f>
        <v>0</v>
      </c>
      <c r="P529" s="127"/>
      <c r="Q529" s="127"/>
      <c r="R529" s="127"/>
      <c r="S529" s="127"/>
      <c r="T529" s="127"/>
      <c r="U529" s="127"/>
    </row>
    <row r="530" spans="2:21" x14ac:dyDescent="0.15">
      <c r="B530" s="8"/>
      <c r="C530" s="95"/>
      <c r="D530" s="8"/>
      <c r="E530" s="129"/>
      <c r="F530" s="375"/>
      <c r="G530" s="127"/>
      <c r="H530" s="127"/>
      <c r="I530" s="127"/>
      <c r="J530" s="127"/>
      <c r="K530" s="127"/>
      <c r="L530" s="127"/>
      <c r="M530" s="127"/>
      <c r="P530" s="127"/>
      <c r="Q530" s="127"/>
      <c r="R530" s="127"/>
      <c r="S530" s="127"/>
      <c r="T530" s="127"/>
      <c r="U530" s="127"/>
    </row>
    <row r="531" spans="2:21" x14ac:dyDescent="0.15">
      <c r="B531" s="225" t="s">
        <v>1299</v>
      </c>
      <c r="C531" s="95"/>
      <c r="D531" s="8"/>
      <c r="E531" s="129"/>
      <c r="F531" s="375"/>
      <c r="G531" s="127"/>
      <c r="H531" s="127"/>
      <c r="I531" s="127"/>
      <c r="J531" s="127"/>
      <c r="K531" s="127"/>
      <c r="L531" s="127"/>
      <c r="M531" s="127"/>
      <c r="P531" s="127"/>
      <c r="Q531" s="127"/>
      <c r="R531" s="127"/>
      <c r="S531" s="127"/>
      <c r="T531" s="127"/>
      <c r="U531" s="127"/>
    </row>
    <row r="532" spans="2:21" x14ac:dyDescent="0.15">
      <c r="B532" s="8" t="s">
        <v>1300</v>
      </c>
      <c r="C532" s="95"/>
      <c r="D532" s="8"/>
      <c r="E532" s="129"/>
      <c r="F532" s="375"/>
      <c r="G532" s="1036">
        <f ca="1">IF(_manufact_method=3,0,'Cost Input'!$F$113/100*G509*1000000/G14*Lists!$C$162)</f>
        <v>1.1839638945247446</v>
      </c>
      <c r="H532" s="1036">
        <f ca="1">IF(_manufact_method=3,0,'Cost Input'!$F$113/100*H509*1000000/H14*Lists!$C$162)</f>
        <v>1.1839638945247446</v>
      </c>
      <c r="I532" s="1036">
        <f ca="1">IF(_manufact_method=3,0,'Cost Input'!$F$113/100*I509*1000000/I14*Lists!$C$162)</f>
        <v>1.1839638945247446</v>
      </c>
      <c r="J532" s="1036">
        <f ca="1">IF(_manufact_method=3,0,'Cost Input'!$F$113/100*J509*1000000/J14*Lists!$C$162)</f>
        <v>1.1839638945247446</v>
      </c>
      <c r="K532" s="1036">
        <f ca="1">IF(_manufact_method=3,0,'Cost Input'!$F$113/100*K509*1000000/K14*Lists!$C$162)</f>
        <v>1.1839638945247446</v>
      </c>
      <c r="L532" s="1036">
        <f ca="1">IF(_manufact_method=3,0,'Cost Input'!$F$113/100*L509*1000000/L14*Lists!$C$162)</f>
        <v>1.1839638945247446</v>
      </c>
      <c r="M532" s="1036">
        <f ca="1">IF(_manufact_method=3,0,'Cost Input'!$F$113/100*M509*1000000/M14*Lists!$C$162)</f>
        <v>1.1839638945247446</v>
      </c>
      <c r="N532" s="1036" t="e">
        <f>IF(_manufact_method=3,0,'Cost Input'!$F$113/100*N509*1000000/N14*Lists!$C$162)</f>
        <v>#DIV/0!</v>
      </c>
      <c r="P532" s="127"/>
      <c r="Q532" s="127"/>
      <c r="R532" s="127"/>
      <c r="S532" s="127"/>
      <c r="T532" s="127"/>
      <c r="U532" s="127"/>
    </row>
    <row r="533" spans="2:21" x14ac:dyDescent="0.15">
      <c r="B533" s="8" t="s">
        <v>1301</v>
      </c>
      <c r="C533" s="95"/>
      <c r="D533" s="8"/>
      <c r="E533" s="129"/>
      <c r="F533" s="375"/>
      <c r="G533" s="1036">
        <f ca="1">IF(_manufact_method=3,0,'Cost Input'!$F$114/100*(G517+G524+G532)*Lists!$D$162)</f>
        <v>1.3716384326272666</v>
      </c>
      <c r="H533" s="1036">
        <f ca="1">IF(_manufact_method=3,0,'Cost Input'!$F$114/100*(H517+H524+H532)*Lists!$D$162)</f>
        <v>1.3716384326272666</v>
      </c>
      <c r="I533" s="1036">
        <f ca="1">IF(_manufact_method=3,0,'Cost Input'!$F$114/100*(I517+I524+I532)*Lists!$D$162)</f>
        <v>1.3716384326272666</v>
      </c>
      <c r="J533" s="1036">
        <f ca="1">IF(_manufact_method=3,0,'Cost Input'!$F$114/100*(J517+J524+J532)*Lists!$D$162)</f>
        <v>1.3716384326272666</v>
      </c>
      <c r="K533" s="1036">
        <f ca="1">IF(_manufact_method=3,0,'Cost Input'!$F$114/100*(K517+K524+K532)*Lists!$D$162)</f>
        <v>1.3716384326272666</v>
      </c>
      <c r="L533" s="1036">
        <f ca="1">IF(_manufact_method=3,0,'Cost Input'!$F$114/100*(L517+L524+L532)*Lists!$D$162)</f>
        <v>1.3716384326272666</v>
      </c>
      <c r="M533" s="1036">
        <f ca="1">IF(_manufact_method=3,0,'Cost Input'!$F$114/100*(M517+M524+M532)*Lists!$D$162)</f>
        <v>1.3716384326272666</v>
      </c>
      <c r="N533" s="1036" t="e">
        <f>IF(_manufact_method=3,0,'Cost Input'!$F$114/100*(N517+N524+N532)*Lists!$D$162)</f>
        <v>#DIV/0!</v>
      </c>
      <c r="P533" s="127"/>
      <c r="Q533" s="127"/>
      <c r="R533" s="127"/>
      <c r="S533" s="127"/>
      <c r="T533" s="127"/>
      <c r="U533" s="127"/>
    </row>
    <row r="534" spans="2:21" x14ac:dyDescent="0.15">
      <c r="B534" s="8"/>
      <c r="C534" s="95"/>
      <c r="D534" s="8"/>
      <c r="E534" s="129"/>
      <c r="F534" s="375"/>
      <c r="G534" s="127"/>
      <c r="H534" s="127"/>
      <c r="I534" s="127"/>
      <c r="J534" s="127"/>
      <c r="K534" s="127"/>
      <c r="L534" s="127"/>
      <c r="M534" s="127"/>
      <c r="P534" s="127"/>
      <c r="Q534" s="127"/>
      <c r="R534" s="127"/>
      <c r="S534" s="127"/>
      <c r="T534" s="127"/>
      <c r="U534" s="127"/>
    </row>
    <row r="535" spans="2:21" ht="14" x14ac:dyDescent="0.15">
      <c r="B535" s="507" t="s">
        <v>1003</v>
      </c>
      <c r="C535" s="95"/>
      <c r="D535" s="8"/>
      <c r="E535" s="129"/>
      <c r="F535" s="375"/>
      <c r="G535" s="144"/>
      <c r="H535" s="144"/>
      <c r="I535" s="144"/>
      <c r="J535" s="144"/>
      <c r="K535" s="144"/>
      <c r="L535" s="144"/>
      <c r="M535" s="144"/>
      <c r="P535" s="144"/>
      <c r="Q535" s="144"/>
      <c r="R535" s="144"/>
      <c r="S535" s="144"/>
      <c r="T535" s="144"/>
      <c r="U535" s="144"/>
    </row>
    <row r="536" spans="2:21" x14ac:dyDescent="0.15">
      <c r="B536" s="8" t="s">
        <v>1302</v>
      </c>
      <c r="C536" s="95"/>
      <c r="D536" s="8"/>
      <c r="E536" s="104"/>
      <c r="F536" s="375"/>
      <c r="G536" s="1036">
        <f ca="1">G517+G524</f>
        <v>23.309579545247875</v>
      </c>
      <c r="H536" s="1036">
        <f t="shared" ref="H536:M536" ca="1" si="128">H517+H524</f>
        <v>23.309579545247875</v>
      </c>
      <c r="I536" s="1036">
        <f t="shared" ca="1" si="128"/>
        <v>23.309579545247875</v>
      </c>
      <c r="J536" s="1036">
        <f t="shared" ca="1" si="128"/>
        <v>23.309579545247875</v>
      </c>
      <c r="K536" s="1036">
        <f t="shared" ca="1" si="128"/>
        <v>23.309579545247875</v>
      </c>
      <c r="L536" s="1036">
        <f t="shared" ca="1" si="128"/>
        <v>23.309579545247875</v>
      </c>
      <c r="M536" s="1036">
        <f t="shared" ca="1" si="128"/>
        <v>23.309579545247875</v>
      </c>
      <c r="P536" s="1036"/>
      <c r="Q536" s="1036"/>
      <c r="R536" s="1036"/>
      <c r="S536" s="1036"/>
      <c r="T536" s="1036"/>
      <c r="U536" s="1036"/>
    </row>
    <row r="537" spans="2:21" x14ac:dyDescent="0.15">
      <c r="B537" s="8" t="s">
        <v>1303</v>
      </c>
      <c r="C537" s="95"/>
      <c r="D537" s="8"/>
      <c r="E537" s="129"/>
      <c r="F537" s="375"/>
      <c r="G537" s="1201">
        <f ca="1">G536+G528+G529+G532+G533</f>
        <v>25.865181872399887</v>
      </c>
      <c r="H537" s="1201">
        <f t="shared" ref="H537:M537" ca="1" si="129">H536+H528+H529+H532+H533</f>
        <v>25.865181872399887</v>
      </c>
      <c r="I537" s="1201">
        <f t="shared" ca="1" si="129"/>
        <v>25.865181872399887</v>
      </c>
      <c r="J537" s="1201">
        <f t="shared" ca="1" si="129"/>
        <v>25.865181872399887</v>
      </c>
      <c r="K537" s="1201">
        <f t="shared" ca="1" si="129"/>
        <v>25.865181872399887</v>
      </c>
      <c r="L537" s="1201">
        <f t="shared" ca="1" si="129"/>
        <v>25.865181872399887</v>
      </c>
      <c r="M537" s="1201">
        <f t="shared" ca="1" si="129"/>
        <v>25.865181872399887</v>
      </c>
      <c r="P537" s="1036"/>
      <c r="Q537" s="1036"/>
      <c r="R537" s="1036"/>
      <c r="S537" s="1036"/>
      <c r="T537" s="1036"/>
      <c r="U537" s="1036"/>
    </row>
    <row r="538" spans="2:21" x14ac:dyDescent="0.15">
      <c r="B538" s="8" t="s">
        <v>1304</v>
      </c>
      <c r="C538" s="95"/>
      <c r="D538" s="8"/>
      <c r="E538" s="104"/>
      <c r="F538" s="375"/>
      <c r="G538" s="1202">
        <f t="shared" ref="G538:M538" ca="1" si="130">G536*G33</f>
        <v>9323.83181809915</v>
      </c>
      <c r="H538" s="1202">
        <f t="shared" ca="1" si="130"/>
        <v>9323.83181809915</v>
      </c>
      <c r="I538" s="1202">
        <f t="shared" ca="1" si="130"/>
        <v>9323.83181809915</v>
      </c>
      <c r="J538" s="1202">
        <f t="shared" ca="1" si="130"/>
        <v>9323.83181809915</v>
      </c>
      <c r="K538" s="1202">
        <f t="shared" ca="1" si="130"/>
        <v>9323.83181809915</v>
      </c>
      <c r="L538" s="1202">
        <f t="shared" ca="1" si="130"/>
        <v>9323.83181809915</v>
      </c>
      <c r="M538" s="1202">
        <f t="shared" ca="1" si="130"/>
        <v>9323.83181809915</v>
      </c>
      <c r="P538" s="1036"/>
      <c r="Q538" s="1036"/>
      <c r="R538" s="1036"/>
      <c r="S538" s="1036"/>
      <c r="T538" s="1036"/>
      <c r="U538" s="1036"/>
    </row>
    <row r="539" spans="2:21" x14ac:dyDescent="0.15">
      <c r="B539" s="8" t="s">
        <v>1305</v>
      </c>
      <c r="C539" s="95"/>
      <c r="D539" s="8"/>
      <c r="E539" s="104"/>
      <c r="F539" s="375"/>
      <c r="G539" s="1202">
        <f t="shared" ref="G539:M539" ca="1" si="131">G537*G33</f>
        <v>10346.072748959956</v>
      </c>
      <c r="H539" s="1202">
        <f t="shared" ca="1" si="131"/>
        <v>10346.072748959956</v>
      </c>
      <c r="I539" s="1202">
        <f t="shared" ca="1" si="131"/>
        <v>10346.072748959956</v>
      </c>
      <c r="J539" s="1202">
        <f t="shared" ca="1" si="131"/>
        <v>10346.072748959956</v>
      </c>
      <c r="K539" s="1202">
        <f t="shared" ca="1" si="131"/>
        <v>10346.072748959956</v>
      </c>
      <c r="L539" s="1202">
        <f t="shared" ca="1" si="131"/>
        <v>10346.072748959956</v>
      </c>
      <c r="M539" s="1202">
        <f t="shared" ca="1" si="131"/>
        <v>10346.072748959956</v>
      </c>
      <c r="P539" s="854"/>
      <c r="Q539" s="854"/>
      <c r="R539" s="854"/>
      <c r="S539" s="854"/>
      <c r="T539" s="854"/>
      <c r="U539" s="854"/>
    </row>
    <row r="540" spans="2:21" ht="14" thickBot="1" x14ac:dyDescent="0.2">
      <c r="B540" s="8"/>
      <c r="C540" s="95"/>
      <c r="D540" s="8"/>
      <c r="E540" s="104"/>
      <c r="F540" s="375"/>
      <c r="G540" s="1078"/>
      <c r="H540" s="95"/>
      <c r="I540" s="95"/>
      <c r="J540" s="95"/>
      <c r="K540" s="95"/>
      <c r="L540" s="95"/>
      <c r="M540" s="95"/>
    </row>
    <row r="541" spans="2:21" ht="19" thickBot="1" x14ac:dyDescent="0.25">
      <c r="B541" s="1335" t="s">
        <v>2406</v>
      </c>
      <c r="C541" s="1336"/>
      <c r="D541" s="1336"/>
      <c r="E541" s="1336"/>
      <c r="F541" s="1336"/>
      <c r="G541" s="1336"/>
      <c r="H541" s="1336"/>
      <c r="I541" s="1336"/>
      <c r="J541" s="1336"/>
      <c r="K541" s="1336"/>
      <c r="L541" s="1336"/>
      <c r="M541" s="1337"/>
    </row>
    <row r="542" spans="2:21" x14ac:dyDescent="0.15">
      <c r="H542" s="95"/>
    </row>
    <row r="543" spans="2:21" ht="16" x14ac:dyDescent="0.2">
      <c r="B543" s="799" t="s">
        <v>2403</v>
      </c>
    </row>
    <row r="544" spans="2:21" ht="14" x14ac:dyDescent="0.15">
      <c r="B544" s="725" t="s">
        <v>1275</v>
      </c>
    </row>
    <row r="545" spans="2:13" x14ac:dyDescent="0.15">
      <c r="B545" s="159" t="s">
        <v>1276</v>
      </c>
      <c r="C545" s="159"/>
      <c r="D545" s="159"/>
      <c r="E545" s="803"/>
      <c r="F545" s="158"/>
      <c r="G545" s="803">
        <f t="shared" ref="G545:M545" ca="1" si="132">G455</f>
        <v>237.16193527979416</v>
      </c>
      <c r="H545" s="803">
        <f t="shared" ca="1" si="132"/>
        <v>237.16193527979416</v>
      </c>
      <c r="I545" s="803">
        <f t="shared" ca="1" si="132"/>
        <v>237.16193527979416</v>
      </c>
      <c r="J545" s="803">
        <f t="shared" ca="1" si="132"/>
        <v>237.16193527979416</v>
      </c>
      <c r="K545" s="803">
        <f t="shared" ca="1" si="132"/>
        <v>237.16193527979416</v>
      </c>
      <c r="L545" s="803">
        <f t="shared" ca="1" si="132"/>
        <v>237.16193527979416</v>
      </c>
      <c r="M545" s="803">
        <f t="shared" ca="1" si="132"/>
        <v>237.16193527979416</v>
      </c>
    </row>
    <row r="546" spans="2:13" x14ac:dyDescent="0.15">
      <c r="B546" s="8" t="s">
        <v>1277</v>
      </c>
      <c r="C546" s="159"/>
      <c r="D546" s="159"/>
      <c r="E546" s="803"/>
      <c r="F546" s="158"/>
      <c r="G546" s="803">
        <f ca="1">G456*'Cost Input'!$F$84/1000000</f>
        <v>30.333333333333893</v>
      </c>
      <c r="H546" s="803">
        <f ca="1">H456*'Cost Input'!$F$84/1000000</f>
        <v>30.333333333333893</v>
      </c>
      <c r="I546" s="803">
        <f ca="1">I456*'Cost Input'!$F$84/1000000</f>
        <v>30.333333333333893</v>
      </c>
      <c r="J546" s="803">
        <f ca="1">J456*'Cost Input'!$F$84/1000000</f>
        <v>30.333333333333893</v>
      </c>
      <c r="K546" s="803">
        <f ca="1">K456*'Cost Input'!$F$84/1000000</f>
        <v>30.333333333333893</v>
      </c>
      <c r="L546" s="803">
        <f ca="1">L456*'Cost Input'!$F$84/1000000</f>
        <v>30.333333333333893</v>
      </c>
      <c r="M546" s="803">
        <f ca="1">M456*'Cost Input'!$F$84/1000000</f>
        <v>30.333333333333893</v>
      </c>
    </row>
    <row r="547" spans="2:13" x14ac:dyDescent="0.15">
      <c r="B547" s="159" t="s">
        <v>1278</v>
      </c>
      <c r="C547" s="159"/>
      <c r="D547" s="159"/>
      <c r="E547" s="803"/>
      <c r="F547" s="158"/>
      <c r="G547" s="116">
        <f ca="1">SUM(G545:G546)*'Cost Input'!$F$85/100</f>
        <v>40.12429029196921</v>
      </c>
      <c r="H547" s="116">
        <f ca="1">SUM(H545:H546)*'Cost Input'!$F$85/100</f>
        <v>40.12429029196921</v>
      </c>
      <c r="I547" s="116">
        <f ca="1">SUM(I545:I546)*'Cost Input'!$F$85/100</f>
        <v>40.12429029196921</v>
      </c>
      <c r="J547" s="116">
        <f ca="1">SUM(J545:J546)*'Cost Input'!$F$85/100</f>
        <v>40.12429029196921</v>
      </c>
      <c r="K547" s="116">
        <f ca="1">SUM(K545:K546)*'Cost Input'!$F$85/100</f>
        <v>40.12429029196921</v>
      </c>
      <c r="L547" s="116">
        <f ca="1">SUM(L545:L546)*'Cost Input'!$F$85/100</f>
        <v>40.12429029196921</v>
      </c>
      <c r="M547" s="116">
        <f ca="1">SUM(M545:M546)*'Cost Input'!$F$85/100</f>
        <v>40.12429029196921</v>
      </c>
    </row>
    <row r="548" spans="2:13" x14ac:dyDescent="0.15">
      <c r="B548" s="159" t="s">
        <v>1279</v>
      </c>
      <c r="C548" s="159"/>
      <c r="D548" s="159"/>
      <c r="E548" s="803"/>
      <c r="F548" s="158"/>
      <c r="G548" s="104">
        <f ca="1">SUM(G545:G547)</f>
        <v>307.61955890509728</v>
      </c>
      <c r="H548" s="104">
        <f t="shared" ref="H548:M548" ca="1" si="133">SUM(H545:H547)</f>
        <v>307.61955890509728</v>
      </c>
      <c r="I548" s="104">
        <f t="shared" ca="1" si="133"/>
        <v>307.61955890509728</v>
      </c>
      <c r="J548" s="104">
        <f t="shared" ca="1" si="133"/>
        <v>307.61955890509728</v>
      </c>
      <c r="K548" s="104">
        <f t="shared" ca="1" si="133"/>
        <v>307.61955890509728</v>
      </c>
      <c r="L548" s="104">
        <f t="shared" ca="1" si="133"/>
        <v>307.61955890509728</v>
      </c>
      <c r="M548" s="104">
        <f t="shared" ca="1" si="133"/>
        <v>307.61955890509728</v>
      </c>
    </row>
    <row r="549" spans="2:13" x14ac:dyDescent="0.15">
      <c r="B549" s="159"/>
      <c r="C549" s="159"/>
      <c r="D549" s="159"/>
      <c r="E549" s="803"/>
      <c r="F549" s="158"/>
      <c r="G549" s="104"/>
      <c r="H549" s="104"/>
      <c r="I549" s="104"/>
      <c r="J549" s="104"/>
      <c r="K549" s="104"/>
      <c r="L549" s="104"/>
      <c r="M549" s="104"/>
    </row>
    <row r="550" spans="2:13" ht="14" x14ac:dyDescent="0.15">
      <c r="B550" s="725" t="s">
        <v>1280</v>
      </c>
      <c r="C550" s="159"/>
      <c r="D550" s="159"/>
      <c r="E550" s="803"/>
      <c r="F550" s="158"/>
      <c r="G550" s="104"/>
      <c r="H550" s="104"/>
      <c r="I550" s="104"/>
      <c r="J550" s="104"/>
      <c r="K550" s="104"/>
      <c r="L550" s="104"/>
      <c r="M550" s="104"/>
    </row>
    <row r="551" spans="2:13" x14ac:dyDescent="0.15">
      <c r="B551" s="159" t="str">
        <f>"Launch costs (" &amp; 'Cost Input'!$F$87 &amp; "% of direct annual materials + " &amp; 'Cost Input'!$F$88 &amp; "% of other annual costs), mil$"</f>
        <v>Launch costs (5% of direct annual materials + 10% of other annual costs), mil$</v>
      </c>
      <c r="C551" s="159"/>
      <c r="D551" s="159"/>
      <c r="E551" s="803"/>
      <c r="F551" s="158"/>
      <c r="G551" s="104">
        <f ca="1">('Cost Input'!$F$87/100*G560+'Cost Input'!$F$88/100*(G561+G563+G562))*G$11/1000000</f>
        <v>20.795393864334361</v>
      </c>
      <c r="H551" s="104">
        <f ca="1">('Cost Input'!$F$87/100*H560+'Cost Input'!$F$88/100*(H561+H563+H562))*H$11/1000000</f>
        <v>20.795393864334361</v>
      </c>
      <c r="I551" s="104">
        <f ca="1">('Cost Input'!$F$87/100*I560+'Cost Input'!$F$88/100*(I561+I563+I562))*I$11/1000000</f>
        <v>20.795393864334361</v>
      </c>
      <c r="J551" s="104">
        <f ca="1">('Cost Input'!$F$87/100*J560+'Cost Input'!$F$88/100*(J561+J563+J562))*J$11/1000000</f>
        <v>20.795393864334361</v>
      </c>
      <c r="K551" s="104">
        <f ca="1">('Cost Input'!$F$87/100*K560+'Cost Input'!$F$88/100*(K561+K563+K562))*K$11/1000000</f>
        <v>20.795393864334361</v>
      </c>
      <c r="L551" s="104">
        <f ca="1">('Cost Input'!$F$87/100*L560+'Cost Input'!$F$88/100*(L561+L563+L562))*L$11/1000000</f>
        <v>20.795393864334361</v>
      </c>
      <c r="M551" s="104">
        <f ca="1">('Cost Input'!$F$87/100*M560+'Cost Input'!$F$88/100*(M561+M563+M562))*M$11/1000000</f>
        <v>20.795393864334361</v>
      </c>
    </row>
    <row r="552" spans="2:13" x14ac:dyDescent="0.15">
      <c r="B552" s="159" t="str">
        <f>"Working capital (" &amp; 'Cost Input'!$F$89 &amp; "% of annual variable costs), mil$"</f>
        <v>Working capital (15% of annual variable costs), mil$</v>
      </c>
      <c r="C552" s="159"/>
      <c r="D552" s="159"/>
      <c r="E552" s="803"/>
      <c r="F552" s="158"/>
      <c r="G552" s="803">
        <f ca="1">G564*G$11/1000000*'Cost Input'!$F$89/100</f>
        <v>60.076780654810989</v>
      </c>
      <c r="H552" s="803">
        <f ca="1">H564*H$11/1000000*'Cost Input'!$F$89/100</f>
        <v>60.076780654810989</v>
      </c>
      <c r="I552" s="803">
        <f ca="1">I564*I$11/1000000*'Cost Input'!$F$89/100</f>
        <v>60.076780654810989</v>
      </c>
      <c r="J552" s="803">
        <f ca="1">J564*J$11/1000000*'Cost Input'!$F$89/100</f>
        <v>60.076780654810989</v>
      </c>
      <c r="K552" s="803">
        <f ca="1">K564*K$11/1000000*'Cost Input'!$F$89/100</f>
        <v>60.076780654810989</v>
      </c>
      <c r="L552" s="803">
        <f ca="1">L564*L$11/1000000*'Cost Input'!$F$89/100</f>
        <v>60.076780654810989</v>
      </c>
      <c r="M552" s="803">
        <f ca="1">M564*M$11/1000000*'Cost Input'!$F$89/100</f>
        <v>60.076780654810989</v>
      </c>
    </row>
    <row r="553" spans="2:13" x14ac:dyDescent="0.15">
      <c r="B553" s="159" t="s">
        <v>1281</v>
      </c>
      <c r="C553" s="159"/>
      <c r="D553" s="159"/>
      <c r="E553" s="803"/>
      <c r="F553" s="158"/>
      <c r="G553" s="803">
        <f ca="1">SUM(G551:G552)</f>
        <v>80.872174519145346</v>
      </c>
      <c r="H553" s="803">
        <f t="shared" ref="H553:M553" ca="1" si="134">SUM(H551:H552)</f>
        <v>80.872174519145346</v>
      </c>
      <c r="I553" s="803">
        <f t="shared" ca="1" si="134"/>
        <v>80.872174519145346</v>
      </c>
      <c r="J553" s="803">
        <f t="shared" ca="1" si="134"/>
        <v>80.872174519145346</v>
      </c>
      <c r="K553" s="803">
        <f t="shared" ca="1" si="134"/>
        <v>80.872174519145346</v>
      </c>
      <c r="L553" s="803">
        <f t="shared" ca="1" si="134"/>
        <v>80.872174519145346</v>
      </c>
      <c r="M553" s="803">
        <f t="shared" ca="1" si="134"/>
        <v>80.872174519145346</v>
      </c>
    </row>
    <row r="554" spans="2:13" x14ac:dyDescent="0.15">
      <c r="B554" s="159"/>
      <c r="C554" s="159"/>
      <c r="D554" s="159"/>
      <c r="E554" s="803"/>
      <c r="F554" s="158"/>
      <c r="G554" s="803"/>
      <c r="H554" s="803"/>
      <c r="I554" s="803"/>
      <c r="J554" s="803"/>
      <c r="K554" s="803"/>
      <c r="L554" s="803"/>
      <c r="M554" s="803"/>
    </row>
    <row r="555" spans="2:13" ht="14" x14ac:dyDescent="0.15">
      <c r="B555" s="725" t="s">
        <v>1282</v>
      </c>
      <c r="C555" s="159"/>
      <c r="D555" s="159"/>
      <c r="E555" s="803"/>
      <c r="F555" s="158"/>
      <c r="G555" s="803"/>
      <c r="H555" s="803"/>
      <c r="I555" s="803"/>
      <c r="J555" s="803"/>
      <c r="K555" s="803"/>
      <c r="L555" s="803"/>
      <c r="M555" s="803"/>
    </row>
    <row r="556" spans="2:13" x14ac:dyDescent="0.15">
      <c r="B556" s="159" t="s">
        <v>1283</v>
      </c>
      <c r="C556" s="159"/>
      <c r="D556" s="159"/>
      <c r="E556" s="803"/>
      <c r="F556" s="158"/>
      <c r="G556" s="803">
        <f ca="1">G548+G553</f>
        <v>388.49173342424263</v>
      </c>
      <c r="H556" s="803">
        <f t="shared" ref="H556:M556" ca="1" si="135">H548+H553</f>
        <v>388.49173342424263</v>
      </c>
      <c r="I556" s="803">
        <f t="shared" ca="1" si="135"/>
        <v>388.49173342424263</v>
      </c>
      <c r="J556" s="803">
        <f t="shared" ca="1" si="135"/>
        <v>388.49173342424263</v>
      </c>
      <c r="K556" s="803">
        <f t="shared" ca="1" si="135"/>
        <v>388.49173342424263</v>
      </c>
      <c r="L556" s="803">
        <f t="shared" ca="1" si="135"/>
        <v>388.49173342424263</v>
      </c>
      <c r="M556" s="803">
        <f t="shared" ca="1" si="135"/>
        <v>388.49173342424263</v>
      </c>
    </row>
    <row r="557" spans="2:13" x14ac:dyDescent="0.15">
      <c r="B557" s="159"/>
      <c r="C557" s="159"/>
      <c r="D557" s="159"/>
      <c r="E557" s="803"/>
      <c r="F557" s="158"/>
      <c r="G557" s="803"/>
      <c r="H557" s="803"/>
      <c r="I557" s="803"/>
      <c r="J557" s="803"/>
      <c r="K557" s="803"/>
      <c r="L557" s="803"/>
      <c r="M557" s="803"/>
    </row>
    <row r="558" spans="2:13" ht="16" x14ac:dyDescent="0.2">
      <c r="B558" s="726" t="s">
        <v>2409</v>
      </c>
      <c r="C558" s="701"/>
      <c r="D558" s="562"/>
      <c r="E558" s="803"/>
      <c r="F558" s="158"/>
      <c r="G558" s="803"/>
      <c r="H558" s="803"/>
      <c r="I558" s="803"/>
      <c r="J558" s="803"/>
      <c r="K558" s="803"/>
      <c r="L558" s="803"/>
      <c r="M558" s="803"/>
    </row>
    <row r="559" spans="2:13" ht="14" x14ac:dyDescent="0.15">
      <c r="B559" s="725" t="s">
        <v>1285</v>
      </c>
      <c r="C559" s="804"/>
      <c r="D559" s="804"/>
      <c r="E559" s="803"/>
      <c r="F559" s="158"/>
      <c r="G559" s="803"/>
      <c r="H559" s="803"/>
      <c r="I559" s="803"/>
      <c r="J559" s="803"/>
      <c r="K559" s="803"/>
      <c r="L559" s="803"/>
      <c r="M559" s="803"/>
    </row>
    <row r="560" spans="2:13" x14ac:dyDescent="0.15">
      <c r="B560" s="8" t="s">
        <v>1306</v>
      </c>
      <c r="F560" s="1153"/>
      <c r="G560" s="853">
        <f ca="1">G537*Lists!$C$154*G33/G34+G162</f>
        <v>38.511586477744096</v>
      </c>
      <c r="H560" s="853">
        <f ca="1">H537*Lists!$C$154*H33/H34+H162</f>
        <v>38.511586477744096</v>
      </c>
      <c r="I560" s="853">
        <f ca="1">I537*Lists!$C$154*I33/I34+I162</f>
        <v>38.511586477744096</v>
      </c>
      <c r="J560" s="853">
        <f ca="1">J537*Lists!$C$154*J33/J34+J162</f>
        <v>38.511586477744096</v>
      </c>
      <c r="K560" s="853">
        <f ca="1">K537*Lists!$C$154*K33/K34+K162</f>
        <v>38.511586477744096</v>
      </c>
      <c r="L560" s="853">
        <f ca="1">L537*Lists!$C$154*L33/L34+L162</f>
        <v>38.511586477744096</v>
      </c>
      <c r="M560" s="853">
        <f ca="1">M537*Lists!$C$154*M33/M34+M162</f>
        <v>38.511586477744096</v>
      </c>
    </row>
    <row r="561" spans="2:13" x14ac:dyDescent="0.15">
      <c r="B561" s="8" t="str">
        <f>"Direct labor at $" &amp; 'Cost Input'!$F$93 &amp; "/hour, $/module"</f>
        <v>Direct labor at $25/hour, $/module</v>
      </c>
      <c r="C561" s="159"/>
      <c r="D561" s="159"/>
      <c r="E561" s="803"/>
      <c r="F561" s="158"/>
      <c r="G561" s="1037">
        <f ca="1">'Cost Input'!$F$93/G$11*G454</f>
        <v>0.43583333333333468</v>
      </c>
      <c r="H561" s="1037">
        <f ca="1">'Cost Input'!$F$93/H$11*H454</f>
        <v>0.43583333333333468</v>
      </c>
      <c r="I561" s="1037">
        <f ca="1">'Cost Input'!$F$93/I$11*I454</f>
        <v>0.43583333333333468</v>
      </c>
      <c r="J561" s="1037">
        <f ca="1">'Cost Input'!$F$93/J$11*J454</f>
        <v>0.43583333333333468</v>
      </c>
      <c r="K561" s="1037">
        <f ca="1">'Cost Input'!$F$93/K$11*K454</f>
        <v>0.43583333333333468</v>
      </c>
      <c r="L561" s="1037">
        <f ca="1">'Cost Input'!$F$93/L$11*L454</f>
        <v>0.43583333333333468</v>
      </c>
      <c r="M561" s="1037">
        <f ca="1">'Cost Input'!$F$93/M$11*M454</f>
        <v>0.43583333333333468</v>
      </c>
    </row>
    <row r="562" spans="2:13" x14ac:dyDescent="0.15">
      <c r="B562" s="8" t="str">
        <f>"Energy at $"  &amp; 'Cost Input'!$F$94 &amp; "/kWh, $/module"</f>
        <v>Energy at $0.04/kWh, $/module</v>
      </c>
      <c r="C562" s="159"/>
      <c r="D562" s="159"/>
      <c r="E562" s="803"/>
      <c r="F562" s="158"/>
      <c r="G562" s="1037">
        <f ca="1">'Cost Input'!$F$94*G457*1000000/G11</f>
        <v>0.3141948409844309</v>
      </c>
      <c r="H562" s="1037">
        <f ca="1">'Cost Input'!$F$94*H457*1000000/H11</f>
        <v>0.3141948409844309</v>
      </c>
      <c r="I562" s="1037">
        <f ca="1">'Cost Input'!$F$94*I457*1000000/I11</f>
        <v>0.3141948409844309</v>
      </c>
      <c r="J562" s="1037">
        <f ca="1">'Cost Input'!$F$94*J457*1000000/J11</f>
        <v>0.3141948409844309</v>
      </c>
      <c r="K562" s="1037">
        <f ca="1">'Cost Input'!$F$94*K457*1000000/K11</f>
        <v>0.3141948409844309</v>
      </c>
      <c r="L562" s="1037">
        <f ca="1">'Cost Input'!$F$94*L457*1000000/L11</f>
        <v>0.3141948409844309</v>
      </c>
      <c r="M562" s="1037">
        <f ca="1">'Cost Input'!$F$94*M457*1000000/M11</f>
        <v>0.3141948409844309</v>
      </c>
    </row>
    <row r="563" spans="2:13" x14ac:dyDescent="0.15">
      <c r="B563" s="159" t="s">
        <v>1307</v>
      </c>
      <c r="C563" s="159"/>
      <c r="D563" s="159"/>
      <c r="E563" s="805"/>
      <c r="F563" s="803"/>
      <c r="G563" s="1044">
        <f ca="1">'Cost Input'!$F$96/100*G561+'Cost Input'!$F$97/100*G548/G11*1000000</f>
        <v>0.78957245114352836</v>
      </c>
      <c r="H563" s="1044">
        <f ca="1">'Cost Input'!$F$96/100*H561+'Cost Input'!$F$97/100*H548/H11*1000000</f>
        <v>0.78957245114352836</v>
      </c>
      <c r="I563" s="1044">
        <f ca="1">'Cost Input'!$F$96/100*I561+'Cost Input'!$F$97/100*I548/I11*1000000</f>
        <v>0.78957245114352836</v>
      </c>
      <c r="J563" s="1044">
        <f ca="1">'Cost Input'!$F$96/100*J561+'Cost Input'!$F$97/100*J548/J11*1000000</f>
        <v>0.78957245114352836</v>
      </c>
      <c r="K563" s="1044">
        <f ca="1">'Cost Input'!$F$96/100*K561+'Cost Input'!$F$97/100*K548/K11*1000000</f>
        <v>0.78957245114352836</v>
      </c>
      <c r="L563" s="1044">
        <f ca="1">'Cost Input'!$F$96/100*L561+'Cost Input'!$F$97/100*L548/L11*1000000</f>
        <v>0.78957245114352836</v>
      </c>
      <c r="M563" s="1044">
        <f ca="1">'Cost Input'!$F$96/100*M561+'Cost Input'!$F$97/100*M548/M11*1000000</f>
        <v>0.78957245114352836</v>
      </c>
    </row>
    <row r="564" spans="2:13" x14ac:dyDescent="0.15">
      <c r="B564" s="159" t="s">
        <v>1308</v>
      </c>
      <c r="C564" s="159"/>
      <c r="D564" s="159"/>
      <c r="E564" s="805"/>
      <c r="F564" s="803"/>
      <c r="G564" s="1045">
        <f ca="1">SUM(G560:G563)</f>
        <v>40.051187103205386</v>
      </c>
      <c r="H564" s="1045">
        <f t="shared" ref="H564:M564" ca="1" si="136">SUM(H560:H563)</f>
        <v>40.051187103205386</v>
      </c>
      <c r="I564" s="1045">
        <f t="shared" ca="1" si="136"/>
        <v>40.051187103205386</v>
      </c>
      <c r="J564" s="1045">
        <f t="shared" ca="1" si="136"/>
        <v>40.051187103205386</v>
      </c>
      <c r="K564" s="1045">
        <f t="shared" ca="1" si="136"/>
        <v>40.051187103205386</v>
      </c>
      <c r="L564" s="1045">
        <f t="shared" ca="1" si="136"/>
        <v>40.051187103205386</v>
      </c>
      <c r="M564" s="1045">
        <f t="shared" ca="1" si="136"/>
        <v>40.051187103205386</v>
      </c>
    </row>
    <row r="565" spans="2:13" x14ac:dyDescent="0.15">
      <c r="B565" s="159"/>
      <c r="C565" s="159"/>
      <c r="D565" s="159"/>
      <c r="E565" s="805"/>
      <c r="F565" s="803"/>
      <c r="G565" s="806"/>
      <c r="H565" s="806"/>
      <c r="I565" s="806"/>
      <c r="J565" s="806"/>
      <c r="K565" s="806"/>
      <c r="L565" s="806"/>
      <c r="M565" s="806"/>
    </row>
    <row r="566" spans="2:13" ht="14" x14ac:dyDescent="0.15">
      <c r="B566" s="507" t="s">
        <v>1289</v>
      </c>
      <c r="C566" s="374"/>
      <c r="D566" s="32"/>
      <c r="E566" s="104"/>
      <c r="F566" s="375"/>
      <c r="G566" s="364"/>
      <c r="H566" s="364"/>
      <c r="I566" s="364"/>
      <c r="J566" s="364"/>
      <c r="K566" s="364"/>
      <c r="L566" s="364"/>
      <c r="M566" s="364"/>
    </row>
    <row r="567" spans="2:13" x14ac:dyDescent="0.15">
      <c r="B567" s="8" t="s">
        <v>1309</v>
      </c>
      <c r="C567" s="95"/>
      <c r="D567" s="8"/>
      <c r="E567" s="104"/>
      <c r="F567" s="375"/>
      <c r="G567" s="1036">
        <f ca="1">('Cost Input'!$F$107/100*G545+'Cost Input'!$F$109/100*G546)*1000000/G11</f>
        <v>2.2139699339021317</v>
      </c>
      <c r="H567" s="1036">
        <f ca="1">('Cost Input'!$F$107/100*H545+'Cost Input'!$F$109/100*H546)*1000000/H11</f>
        <v>2.2139699339021317</v>
      </c>
      <c r="I567" s="1036">
        <f ca="1">('Cost Input'!$F$107/100*I545+'Cost Input'!$F$109/100*I546)*1000000/I11</f>
        <v>2.2139699339021317</v>
      </c>
      <c r="J567" s="1036">
        <f ca="1">('Cost Input'!$F$107/100*J545+'Cost Input'!$F$109/100*J546)*1000000/J11</f>
        <v>2.2139699339021317</v>
      </c>
      <c r="K567" s="1036">
        <f ca="1">('Cost Input'!$F$107/100*K545+'Cost Input'!$F$109/100*K546)*1000000/K11</f>
        <v>2.2139699339021317</v>
      </c>
      <c r="L567" s="1036">
        <f ca="1">('Cost Input'!$F$107/100*L545+'Cost Input'!$F$109/100*L546)*1000000/L11</f>
        <v>2.2139699339021317</v>
      </c>
      <c r="M567" s="1036">
        <f ca="1">('Cost Input'!$F$107/100*M545+'Cost Input'!$F$109/100*M546)*1000000/M11</f>
        <v>2.2139699339021317</v>
      </c>
    </row>
    <row r="568" spans="2:13" x14ac:dyDescent="0.15">
      <c r="B568" s="8" t="s">
        <v>1310</v>
      </c>
      <c r="C568" s="95"/>
      <c r="D568" s="8"/>
      <c r="E568" s="104"/>
      <c r="F568" s="375"/>
      <c r="G568" s="1036">
        <f ca="1">'Cost Input'!$F$101/100*(G561+G563)+'Cost Input'!$F$102/100*G548/G11*1000000</f>
        <v>0.53706611529803872</v>
      </c>
      <c r="H568" s="1036">
        <f ca="1">'Cost Input'!$F$101/100*(H561+H563)+'Cost Input'!$F$102/100*H548/H11*1000000</f>
        <v>0.53706611529803872</v>
      </c>
      <c r="I568" s="1036">
        <f ca="1">'Cost Input'!$F$101/100*(I561+I563)+'Cost Input'!$F$102/100*I548/I11*1000000</f>
        <v>0.53706611529803872</v>
      </c>
      <c r="J568" s="1036">
        <f ca="1">'Cost Input'!$F$101/100*(J561+J563)+'Cost Input'!$F$102/100*J548/J11*1000000</f>
        <v>0.53706611529803872</v>
      </c>
      <c r="K568" s="1036">
        <f ca="1">'Cost Input'!$F$101/100*(K561+K563)+'Cost Input'!$F$102/100*K548/K11*1000000</f>
        <v>0.53706611529803872</v>
      </c>
      <c r="L568" s="1036">
        <f ca="1">'Cost Input'!$F$101/100*(L561+L563)+'Cost Input'!$F$102/100*L548/L11*1000000</f>
        <v>0.53706611529803872</v>
      </c>
      <c r="M568" s="1036">
        <f ca="1">'Cost Input'!$F$101/100*(M561+M563)+'Cost Input'!$F$102/100*M548/M11*1000000</f>
        <v>0.53706611529803872</v>
      </c>
    </row>
    <row r="569" spans="2:13" x14ac:dyDescent="0.15">
      <c r="B569" s="8" t="s">
        <v>1311</v>
      </c>
      <c r="C569" s="95"/>
      <c r="D569" s="8"/>
      <c r="E569" s="104"/>
      <c r="F569" s="375"/>
      <c r="G569" s="1036">
        <f ca="1">G567*'Cost Input'!$F$103/100</f>
        <v>0.77488947686574605</v>
      </c>
      <c r="H569" s="1036">
        <f ca="1">H567*'Cost Input'!$F$103/100</f>
        <v>0.77488947686574605</v>
      </c>
      <c r="I569" s="1036">
        <f ca="1">I567*'Cost Input'!$F$103/100</f>
        <v>0.77488947686574605</v>
      </c>
      <c r="J569" s="1036">
        <f ca="1">J567*'Cost Input'!$F$103/100</f>
        <v>0.77488947686574605</v>
      </c>
      <c r="K569" s="1036">
        <f ca="1">K567*'Cost Input'!$F$103/100</f>
        <v>0.77488947686574605</v>
      </c>
      <c r="L569" s="1036">
        <f ca="1">L567*'Cost Input'!$F$103/100</f>
        <v>0.77488947686574605</v>
      </c>
      <c r="M569" s="1036">
        <f ca="1">M567*'Cost Input'!$F$103/100</f>
        <v>0.77488947686574605</v>
      </c>
    </row>
    <row r="570" spans="2:13" x14ac:dyDescent="0.15">
      <c r="B570" s="8" t="s">
        <v>1312</v>
      </c>
      <c r="C570" s="95"/>
      <c r="D570" s="8"/>
      <c r="E570" s="104"/>
      <c r="F570" s="375"/>
      <c r="G570" s="1036">
        <f ca="1">'Cost Input'!$F$110/100*'Manufacturing Costs'!G556/G11*1000000</f>
        <v>0.29136880006818194</v>
      </c>
      <c r="H570" s="1036">
        <f ca="1">'Cost Input'!$F$110/100*'Manufacturing Costs'!H556/H11*1000000</f>
        <v>0.29136880006818194</v>
      </c>
      <c r="I570" s="1036">
        <f ca="1">'Cost Input'!$F$110/100*'Manufacturing Costs'!I556/I11*1000000</f>
        <v>0.29136880006818194</v>
      </c>
      <c r="J570" s="1036">
        <f ca="1">'Cost Input'!$F$110/100*'Manufacturing Costs'!J556/J11*1000000</f>
        <v>0.29136880006818194</v>
      </c>
      <c r="K570" s="1036">
        <f ca="1">'Cost Input'!$F$110/100*'Manufacturing Costs'!K556/K11*1000000</f>
        <v>0.29136880006818194</v>
      </c>
      <c r="L570" s="1036">
        <f ca="1">'Cost Input'!$F$110/100*'Manufacturing Costs'!L556/L11*1000000</f>
        <v>0.29136880006818194</v>
      </c>
      <c r="M570" s="1036">
        <f ca="1">'Cost Input'!$F$110/100*'Manufacturing Costs'!M556/M11*1000000</f>
        <v>0.29136880006818194</v>
      </c>
    </row>
    <row r="571" spans="2:13" x14ac:dyDescent="0.15">
      <c r="B571" s="8" t="s">
        <v>1313</v>
      </c>
      <c r="C571" s="95"/>
      <c r="D571" s="8"/>
      <c r="E571" s="104"/>
      <c r="F571" s="375"/>
      <c r="G571" s="1036">
        <f ca="1">G568+G569+G567+G570</f>
        <v>3.8172943261340984</v>
      </c>
      <c r="H571" s="1036">
        <f t="shared" ref="H571:M571" ca="1" si="137">H568+H569+H567+H570</f>
        <v>3.8172943261340984</v>
      </c>
      <c r="I571" s="1036">
        <f t="shared" ca="1" si="137"/>
        <v>3.8172943261340984</v>
      </c>
      <c r="J571" s="1036">
        <f t="shared" ca="1" si="137"/>
        <v>3.8172943261340984</v>
      </c>
      <c r="K571" s="1036">
        <f t="shared" ca="1" si="137"/>
        <v>3.8172943261340984</v>
      </c>
      <c r="L571" s="1036">
        <f t="shared" ca="1" si="137"/>
        <v>3.8172943261340984</v>
      </c>
      <c r="M571" s="1036">
        <f t="shared" ca="1" si="137"/>
        <v>3.8172943261340984</v>
      </c>
    </row>
    <row r="572" spans="2:13" x14ac:dyDescent="0.15">
      <c r="B572" s="8"/>
      <c r="C572" s="95"/>
      <c r="D572" s="8"/>
      <c r="E572" s="104"/>
      <c r="F572" s="375"/>
      <c r="G572" s="95"/>
      <c r="H572" s="95"/>
      <c r="I572" s="95"/>
      <c r="J572" s="95"/>
      <c r="K572" s="95"/>
      <c r="L572" s="95"/>
      <c r="M572" s="95"/>
    </row>
    <row r="573" spans="2:13" ht="14" x14ac:dyDescent="0.15">
      <c r="B573" s="507" t="s">
        <v>1314</v>
      </c>
      <c r="C573" s="95"/>
      <c r="D573" s="8"/>
      <c r="E573" s="104"/>
      <c r="F573" s="375"/>
      <c r="G573" s="95"/>
      <c r="H573" s="95"/>
      <c r="I573" s="95"/>
      <c r="J573" s="95"/>
      <c r="K573" s="95"/>
      <c r="L573" s="95"/>
      <c r="M573" s="95"/>
    </row>
    <row r="574" spans="2:13" x14ac:dyDescent="0.15">
      <c r="B574" s="8" t="s">
        <v>1315</v>
      </c>
      <c r="C574" s="95"/>
      <c r="D574" s="8"/>
      <c r="E574" s="104"/>
      <c r="F574" s="375"/>
      <c r="G574" s="1201">
        <f ca="1">'Cost Input'!$F$113/100*G556*1000000/G11*Lists!$C$162</f>
        <v>1.9424586671212134</v>
      </c>
      <c r="H574" s="1201">
        <f ca="1">'Cost Input'!$F$113/100*H556*1000000/H11*Lists!$C$162</f>
        <v>1.9424586671212134</v>
      </c>
      <c r="I574" s="1201">
        <f ca="1">'Cost Input'!$F$113/100*I556*1000000/I11*Lists!$C$162</f>
        <v>1.9424586671212134</v>
      </c>
      <c r="J574" s="1201">
        <f ca="1">'Cost Input'!$F$113/100*J556*1000000/J11*Lists!$C$162</f>
        <v>1.9424586671212134</v>
      </c>
      <c r="K574" s="1201">
        <f ca="1">'Cost Input'!$F$113/100*K556*1000000/K11*Lists!$C$162</f>
        <v>1.9424586671212134</v>
      </c>
      <c r="L574" s="1201">
        <f ca="1">'Cost Input'!$F$113/100*L556*1000000/L11*Lists!$C$162</f>
        <v>1.9424586671212134</v>
      </c>
      <c r="M574" s="1201">
        <f ca="1">'Cost Input'!$F$113/100*M556*1000000/M11*Lists!$C$162</f>
        <v>1.9424586671212134</v>
      </c>
    </row>
    <row r="575" spans="2:13" x14ac:dyDescent="0.15">
      <c r="B575" s="8" t="s">
        <v>1316</v>
      </c>
      <c r="C575" s="95"/>
      <c r="D575" s="8"/>
      <c r="E575" s="104"/>
      <c r="F575" s="375"/>
      <c r="G575" s="1201">
        <f ca="1">'Cost Input'!$F$114/100*(G564+G571+G574)*Lists!$D$162</f>
        <v>2.5654126454017989</v>
      </c>
      <c r="H575" s="1201">
        <f ca="1">'Cost Input'!$F$114/100*(H564+H571+H574)*Lists!$D$162</f>
        <v>2.5654126454017989</v>
      </c>
      <c r="I575" s="1201">
        <f ca="1">'Cost Input'!$F$114/100*(I564+I571+I574)*Lists!$D$162</f>
        <v>2.5654126454017989</v>
      </c>
      <c r="J575" s="1201">
        <f ca="1">'Cost Input'!$F$114/100*(J564+J571+J574)*Lists!$D$162</f>
        <v>2.5654126454017989</v>
      </c>
      <c r="K575" s="1201">
        <f ca="1">'Cost Input'!$F$114/100*(K564+K571+K574)*Lists!$D$162</f>
        <v>2.5654126454017989</v>
      </c>
      <c r="L575" s="1201">
        <f ca="1">'Cost Input'!$F$114/100*(L564+L571+L574)*Lists!$D$162</f>
        <v>2.5654126454017989</v>
      </c>
      <c r="M575" s="1201">
        <f ca="1">'Cost Input'!$F$114/100*(M564+M571+M574)*Lists!$D$162</f>
        <v>2.5654126454017989</v>
      </c>
    </row>
    <row r="576" spans="2:13" x14ac:dyDescent="0.15">
      <c r="B576" s="8"/>
      <c r="C576" s="95"/>
      <c r="D576" s="8"/>
      <c r="E576" s="104"/>
      <c r="F576" s="375"/>
      <c r="G576" s="1201"/>
      <c r="H576" s="1201"/>
      <c r="I576" s="1201"/>
      <c r="J576" s="1201"/>
      <c r="K576" s="1201"/>
      <c r="L576" s="1201"/>
      <c r="M576" s="1201"/>
    </row>
    <row r="577" spans="2:21" ht="14" x14ac:dyDescent="0.15">
      <c r="B577" s="507" t="s">
        <v>1317</v>
      </c>
      <c r="C577" s="95"/>
      <c r="D577" s="8"/>
      <c r="E577" s="129"/>
      <c r="F577" s="375"/>
      <c r="G577" s="144"/>
      <c r="H577" s="144"/>
      <c r="I577" s="144"/>
      <c r="J577" s="144"/>
      <c r="K577" s="144"/>
      <c r="L577" s="144"/>
      <c r="M577" s="144"/>
    </row>
    <row r="578" spans="2:21" x14ac:dyDescent="0.15">
      <c r="B578" s="8" t="s">
        <v>1318</v>
      </c>
      <c r="C578" s="95"/>
      <c r="D578" s="8"/>
      <c r="E578" s="129"/>
      <c r="F578" s="375"/>
      <c r="G578" s="1202">
        <f ca="1">G564+G571</f>
        <v>43.868481429339482</v>
      </c>
      <c r="H578" s="1202">
        <f t="shared" ref="H578:M578" ca="1" si="138">H564+H571</f>
        <v>43.868481429339482</v>
      </c>
      <c r="I578" s="1202">
        <f t="shared" ca="1" si="138"/>
        <v>43.868481429339482</v>
      </c>
      <c r="J578" s="1202">
        <f t="shared" ca="1" si="138"/>
        <v>43.868481429339482</v>
      </c>
      <c r="K578" s="1202">
        <f t="shared" ca="1" si="138"/>
        <v>43.868481429339482</v>
      </c>
      <c r="L578" s="1202">
        <f t="shared" ca="1" si="138"/>
        <v>43.868481429339482</v>
      </c>
      <c r="M578" s="1202">
        <f t="shared" ca="1" si="138"/>
        <v>43.868481429339482</v>
      </c>
    </row>
    <row r="579" spans="2:21" x14ac:dyDescent="0.15">
      <c r="B579" s="8" t="s">
        <v>1319</v>
      </c>
      <c r="C579" s="95"/>
      <c r="D579" s="8"/>
      <c r="E579" s="104"/>
      <c r="F579" s="375"/>
      <c r="G579" s="815">
        <f ca="1">G578+G575+G574</f>
        <v>48.376352741862497</v>
      </c>
      <c r="H579" s="815">
        <f t="shared" ref="H579:M579" ca="1" si="139">H578+H575+H574</f>
        <v>48.376352741862497</v>
      </c>
      <c r="I579" s="815">
        <f t="shared" ca="1" si="139"/>
        <v>48.376352741862497</v>
      </c>
      <c r="J579" s="815">
        <f t="shared" ca="1" si="139"/>
        <v>48.376352741862497</v>
      </c>
      <c r="K579" s="815">
        <f t="shared" ca="1" si="139"/>
        <v>48.376352741862497</v>
      </c>
      <c r="L579" s="815">
        <f t="shared" ca="1" si="139"/>
        <v>48.376352741862497</v>
      </c>
      <c r="M579" s="815">
        <f t="shared" ca="1" si="139"/>
        <v>48.376352741862497</v>
      </c>
    </row>
    <row r="580" spans="2:21" x14ac:dyDescent="0.15">
      <c r="B580" s="8" t="s">
        <v>1320</v>
      </c>
      <c r="C580" s="95"/>
      <c r="D580" s="8"/>
      <c r="E580" s="104"/>
      <c r="F580" s="375"/>
      <c r="G580" s="815">
        <f t="shared" ref="G580:M581" ca="1" si="140">G578*G$34</f>
        <v>877.36962858678964</v>
      </c>
      <c r="H580" s="815">
        <f t="shared" ca="1" si="140"/>
        <v>877.36962858678964</v>
      </c>
      <c r="I580" s="815">
        <f t="shared" ca="1" si="140"/>
        <v>877.36962858678964</v>
      </c>
      <c r="J580" s="815">
        <f t="shared" ca="1" si="140"/>
        <v>877.36962858678964</v>
      </c>
      <c r="K580" s="815">
        <f t="shared" ca="1" si="140"/>
        <v>877.36962858678964</v>
      </c>
      <c r="L580" s="815">
        <f t="shared" ca="1" si="140"/>
        <v>877.36962858678964</v>
      </c>
      <c r="M580" s="815">
        <f t="shared" ca="1" si="140"/>
        <v>877.36962858678964</v>
      </c>
    </row>
    <row r="581" spans="2:21" x14ac:dyDescent="0.15">
      <c r="B581" s="8" t="s">
        <v>1321</v>
      </c>
      <c r="C581" s="95"/>
      <c r="D581" s="8"/>
      <c r="E581" s="104"/>
      <c r="F581" s="375"/>
      <c r="G581" s="815">
        <f t="shared" ca="1" si="140"/>
        <v>967.52705483724992</v>
      </c>
      <c r="H581" s="815">
        <f t="shared" ca="1" si="140"/>
        <v>967.52705483724992</v>
      </c>
      <c r="I581" s="815">
        <f t="shared" ca="1" si="140"/>
        <v>967.52705483724992</v>
      </c>
      <c r="J581" s="815">
        <f t="shared" ca="1" si="140"/>
        <v>967.52705483724992</v>
      </c>
      <c r="K581" s="815">
        <f t="shared" ca="1" si="140"/>
        <v>967.52705483724992</v>
      </c>
      <c r="L581" s="815">
        <f t="shared" ca="1" si="140"/>
        <v>967.52705483724992</v>
      </c>
      <c r="M581" s="815">
        <f t="shared" ca="1" si="140"/>
        <v>967.52705483724992</v>
      </c>
    </row>
    <row r="582" spans="2:21" ht="14" thickBot="1" x14ac:dyDescent="0.2">
      <c r="B582" s="8"/>
      <c r="C582" s="95"/>
      <c r="D582" s="8"/>
      <c r="E582" s="104"/>
      <c r="F582" s="375"/>
      <c r="G582" s="1078"/>
      <c r="H582" s="95"/>
      <c r="I582" s="95"/>
      <c r="J582" s="95"/>
      <c r="K582" s="95"/>
      <c r="L582" s="95"/>
      <c r="M582" s="95"/>
    </row>
    <row r="583" spans="2:21" ht="19" thickBot="1" x14ac:dyDescent="0.25">
      <c r="B583" s="1335" t="s">
        <v>2405</v>
      </c>
      <c r="C583" s="1336"/>
      <c r="D583" s="1336"/>
      <c r="E583" s="1336"/>
      <c r="F583" s="1336"/>
      <c r="G583" s="1336"/>
      <c r="H583" s="1336"/>
      <c r="I583" s="1336"/>
      <c r="J583" s="1336"/>
      <c r="K583" s="1336"/>
      <c r="L583" s="1336"/>
      <c r="M583" s="1337"/>
      <c r="O583" s="8"/>
    </row>
    <row r="584" spans="2:21" x14ac:dyDescent="0.15">
      <c r="H584" s="95"/>
    </row>
    <row r="585" spans="2:21" ht="16" x14ac:dyDescent="0.2">
      <c r="B585" s="799" t="s">
        <v>2407</v>
      </c>
      <c r="P585" s="32"/>
      <c r="Q585" s="32"/>
      <c r="R585" s="32"/>
      <c r="S585" s="32"/>
      <c r="T585" s="32"/>
      <c r="U585" s="32"/>
    </row>
    <row r="586" spans="2:21" ht="14" x14ac:dyDescent="0.15">
      <c r="B586" s="725" t="s">
        <v>1275</v>
      </c>
      <c r="P586" s="32"/>
      <c r="Q586" s="32"/>
      <c r="R586" s="32"/>
      <c r="S586" s="32"/>
      <c r="T586" s="32"/>
      <c r="U586" s="32"/>
    </row>
    <row r="587" spans="2:21" x14ac:dyDescent="0.15">
      <c r="B587" s="159" t="s">
        <v>1276</v>
      </c>
      <c r="C587" s="159"/>
      <c r="D587" s="159"/>
      <c r="E587" s="803"/>
      <c r="F587" s="158"/>
      <c r="G587" s="803">
        <f t="shared" ref="G587:N587" ca="1" si="141">G461</f>
        <v>221.51919528564909</v>
      </c>
      <c r="H587" s="803">
        <f t="shared" ca="1" si="141"/>
        <v>221.51919528564909</v>
      </c>
      <c r="I587" s="803">
        <f t="shared" ca="1" si="141"/>
        <v>221.51919528564909</v>
      </c>
      <c r="J587" s="803">
        <f t="shared" ca="1" si="141"/>
        <v>221.51919528564909</v>
      </c>
      <c r="K587" s="803">
        <f t="shared" ca="1" si="141"/>
        <v>221.51919528564909</v>
      </c>
      <c r="L587" s="803">
        <f t="shared" ca="1" si="141"/>
        <v>221.51919528564909</v>
      </c>
      <c r="M587" s="803">
        <f t="shared" ca="1" si="141"/>
        <v>221.51919528564909</v>
      </c>
      <c r="N587" s="803" t="e">
        <f t="shared" si="141"/>
        <v>#DIV/0!</v>
      </c>
      <c r="P587" s="803"/>
      <c r="Q587" s="803"/>
      <c r="R587" s="803"/>
      <c r="S587" s="803"/>
      <c r="T587" s="803"/>
      <c r="U587" s="803"/>
    </row>
    <row r="588" spans="2:21" x14ac:dyDescent="0.15">
      <c r="B588" s="8" t="s">
        <v>1277</v>
      </c>
      <c r="C588" s="159"/>
      <c r="D588" s="159"/>
      <c r="E588" s="803"/>
      <c r="F588" s="158"/>
      <c r="G588" s="803">
        <f ca="1">G462*'Cost Input'!$F$84/1000000</f>
        <v>30.333333333333893</v>
      </c>
      <c r="H588" s="803">
        <f ca="1">H462*'Cost Input'!$F$84/1000000</f>
        <v>30.333333333333893</v>
      </c>
      <c r="I588" s="803">
        <f ca="1">I462*'Cost Input'!$F$84/1000000</f>
        <v>30.333333333333893</v>
      </c>
      <c r="J588" s="803">
        <f ca="1">J462*'Cost Input'!$F$84/1000000</f>
        <v>30.333333333333893</v>
      </c>
      <c r="K588" s="803">
        <f ca="1">K462*'Cost Input'!$F$84/1000000</f>
        <v>30.333333333333893</v>
      </c>
      <c r="L588" s="803">
        <f ca="1">L462*'Cost Input'!$F$84/1000000</f>
        <v>30.333333333333893</v>
      </c>
      <c r="M588" s="803">
        <f ca="1">M462*'Cost Input'!$F$84/1000000</f>
        <v>30.333333333333893</v>
      </c>
      <c r="N588" s="803">
        <f>N450*'Cost Input'!$F$84/1000000</f>
        <v>0</v>
      </c>
      <c r="P588" s="803"/>
      <c r="Q588" s="803"/>
      <c r="R588" s="803"/>
      <c r="S588" s="803"/>
      <c r="T588" s="803"/>
      <c r="U588" s="803"/>
    </row>
    <row r="589" spans="2:21" x14ac:dyDescent="0.15">
      <c r="B589" s="159" t="s">
        <v>1278</v>
      </c>
      <c r="C589" s="159"/>
      <c r="D589" s="159"/>
      <c r="E589" s="803"/>
      <c r="F589" s="158"/>
      <c r="G589" s="116">
        <f ca="1">SUM(G587:G588)*'Cost Input'!$F$85/100</f>
        <v>37.777879292847445</v>
      </c>
      <c r="H589" s="116">
        <f ca="1">SUM(H587:H588)*'Cost Input'!$F$85/100</f>
        <v>37.777879292847445</v>
      </c>
      <c r="I589" s="116">
        <f ca="1">SUM(I587:I588)*'Cost Input'!$F$85/100</f>
        <v>37.777879292847445</v>
      </c>
      <c r="J589" s="116">
        <f ca="1">SUM(J587:J588)*'Cost Input'!$F$85/100</f>
        <v>37.777879292847445</v>
      </c>
      <c r="K589" s="116">
        <f ca="1">SUM(K587:K588)*'Cost Input'!$F$85/100</f>
        <v>37.777879292847445</v>
      </c>
      <c r="L589" s="116">
        <f ca="1">SUM(L587:L588)*'Cost Input'!$F$85/100</f>
        <v>37.777879292847445</v>
      </c>
      <c r="M589" s="116">
        <f ca="1">SUM(M587:M588)*'Cost Input'!$F$85/100</f>
        <v>37.777879292847445</v>
      </c>
      <c r="P589" s="104"/>
      <c r="Q589" s="104"/>
      <c r="R589" s="104"/>
      <c r="S589" s="104"/>
      <c r="T589" s="104"/>
      <c r="U589" s="104"/>
    </row>
    <row r="590" spans="2:21" x14ac:dyDescent="0.15">
      <c r="B590" s="159" t="s">
        <v>1279</v>
      </c>
      <c r="C590" s="159"/>
      <c r="D590" s="159"/>
      <c r="E590" s="803"/>
      <c r="F590" s="158"/>
      <c r="G590" s="104">
        <f ca="1">SUM(G587:G589)</f>
        <v>289.63040791183039</v>
      </c>
      <c r="H590" s="104">
        <f t="shared" ref="H590:M590" ca="1" si="142">SUM(H587:H589)</f>
        <v>289.63040791183039</v>
      </c>
      <c r="I590" s="104">
        <f t="shared" ca="1" si="142"/>
        <v>289.63040791183039</v>
      </c>
      <c r="J590" s="104">
        <f t="shared" ca="1" si="142"/>
        <v>289.63040791183039</v>
      </c>
      <c r="K590" s="104">
        <f t="shared" ca="1" si="142"/>
        <v>289.63040791183039</v>
      </c>
      <c r="L590" s="104">
        <f t="shared" ca="1" si="142"/>
        <v>289.63040791183039</v>
      </c>
      <c r="M590" s="104">
        <f t="shared" ca="1" si="142"/>
        <v>289.63040791183039</v>
      </c>
      <c r="T590" s="104"/>
      <c r="U590" s="104"/>
    </row>
    <row r="591" spans="2:21" ht="16" x14ac:dyDescent="0.2">
      <c r="B591" s="159"/>
      <c r="C591" s="159"/>
      <c r="D591" s="159"/>
      <c r="E591" s="803"/>
      <c r="F591" s="158"/>
      <c r="G591" s="104"/>
      <c r="H591" s="104"/>
      <c r="I591" s="104"/>
      <c r="J591" s="104"/>
      <c r="K591" s="104"/>
      <c r="L591" s="104"/>
      <c r="M591" s="104"/>
      <c r="P591" s="799"/>
      <c r="Q591" s="32"/>
      <c r="R591" s="32"/>
      <c r="S591" s="32"/>
      <c r="T591" s="104"/>
      <c r="U591" s="104"/>
    </row>
    <row r="592" spans="2:21" ht="14" x14ac:dyDescent="0.15">
      <c r="B592" s="725" t="s">
        <v>1280</v>
      </c>
      <c r="C592" s="159"/>
      <c r="D592" s="159"/>
      <c r="E592" s="803"/>
      <c r="F592" s="158"/>
      <c r="G592" s="104"/>
      <c r="H592" s="104"/>
      <c r="I592" s="104"/>
      <c r="J592" s="104"/>
      <c r="K592" s="104"/>
      <c r="L592" s="104"/>
      <c r="M592" s="104"/>
      <c r="P592" s="159"/>
      <c r="Q592" s="803"/>
      <c r="R592" s="803"/>
      <c r="S592" s="803"/>
      <c r="T592" s="104"/>
      <c r="U592" s="104"/>
    </row>
    <row r="593" spans="2:21" x14ac:dyDescent="0.15">
      <c r="B593" s="159" t="str">
        <f>"Launch costs (" &amp; 'Cost Input'!$F$87 &amp; "% of direct annual materials + " &amp; 'Cost Input'!$F$88 &amp; "% of other annual costs), mil$"</f>
        <v>Launch costs (5% of direct annual materials + 10% of other annual costs), mil$</v>
      </c>
      <c r="C593" s="159"/>
      <c r="D593" s="159"/>
      <c r="E593" s="803"/>
      <c r="F593" s="158"/>
      <c r="G593" s="104">
        <f ca="1">('Cost Input'!$F$87/100*G602+'Cost Input'!$F$88/100*(G603+G605+G604))*G$9/1000000</f>
        <v>22.018970720545028</v>
      </c>
      <c r="H593" s="104">
        <f ca="1">('Cost Input'!$F$87/100*H602+'Cost Input'!$F$88/100*(H603+H605+H604))*H$9/1000000</f>
        <v>22.018970720545028</v>
      </c>
      <c r="I593" s="104">
        <f ca="1">('Cost Input'!$F$87/100*I602+'Cost Input'!$F$88/100*(I603+I605+I604))*I$9/1000000</f>
        <v>22.018970720545028</v>
      </c>
      <c r="J593" s="104">
        <f ca="1">('Cost Input'!$F$87/100*J602+'Cost Input'!$F$88/100*(J603+J605+J604))*J$9/1000000</f>
        <v>22.018970720545028</v>
      </c>
      <c r="K593" s="104">
        <f ca="1">('Cost Input'!$F$87/100*K602+'Cost Input'!$F$88/100*(K603+K605+K604))*K$9/1000000</f>
        <v>22.018970720545028</v>
      </c>
      <c r="L593" s="104">
        <f ca="1">('Cost Input'!$F$87/100*L602+'Cost Input'!$F$88/100*(L603+L605+L604))*L$9/1000000</f>
        <v>22.018970720545028</v>
      </c>
      <c r="M593" s="104">
        <f ca="1">('Cost Input'!$F$87/100*M602+'Cost Input'!$F$88/100*(M603+M605+M604))*M$9/1000000</f>
        <v>22.018970720545028</v>
      </c>
      <c r="P593" s="8"/>
      <c r="Q593" s="803"/>
      <c r="R593" s="803"/>
      <c r="S593" s="803"/>
      <c r="T593" s="104"/>
      <c r="U593" s="104"/>
    </row>
    <row r="594" spans="2:21" x14ac:dyDescent="0.15">
      <c r="B594" s="159" t="str">
        <f>"Working capital (" &amp; 'Cost Input'!$F$89 &amp; "% of annual variable costs), mil$"</f>
        <v>Working capital (15% of annual variable costs), mil$</v>
      </c>
      <c r="C594" s="159"/>
      <c r="D594" s="159"/>
      <c r="E594" s="803"/>
      <c r="F594" s="158"/>
      <c r="G594" s="803">
        <f ca="1">G606*G$9/1000000*'Cost Input'!$F$89/100</f>
        <v>63.822328472322894</v>
      </c>
      <c r="H594" s="803">
        <f ca="1">H606*H$9/1000000*'Cost Input'!$F$89/100</f>
        <v>63.822328472322894</v>
      </c>
      <c r="I594" s="803">
        <f ca="1">I606*I$9/1000000*'Cost Input'!$F$89/100</f>
        <v>63.822328472322894</v>
      </c>
      <c r="J594" s="803">
        <f ca="1">J606*J$9/1000000*'Cost Input'!$F$89/100</f>
        <v>63.822328472322894</v>
      </c>
      <c r="K594" s="803">
        <f ca="1">K606*K$9/1000000*'Cost Input'!$F$89/100</f>
        <v>63.822328472322894</v>
      </c>
      <c r="L594" s="803">
        <f ca="1">L606*L$9/1000000*'Cost Input'!$F$89/100</f>
        <v>63.822328472322894</v>
      </c>
      <c r="M594" s="803">
        <f ca="1">M606*M$9/1000000*'Cost Input'!$F$89/100</f>
        <v>63.822328472322894</v>
      </c>
      <c r="P594" s="159"/>
      <c r="Q594" s="104"/>
      <c r="R594" s="104"/>
      <c r="S594" s="104"/>
      <c r="T594" s="803"/>
      <c r="U594" s="803"/>
    </row>
    <row r="595" spans="2:21" x14ac:dyDescent="0.15">
      <c r="B595" s="159" t="s">
        <v>1281</v>
      </c>
      <c r="C595" s="159"/>
      <c r="D595" s="159"/>
      <c r="E595" s="803"/>
      <c r="F595" s="158"/>
      <c r="G595" s="803">
        <f ca="1">SUM(G593:G594)</f>
        <v>85.841299192867922</v>
      </c>
      <c r="H595" s="803">
        <f t="shared" ref="H595:M595" ca="1" si="143">SUM(H593:H594)</f>
        <v>85.841299192867922</v>
      </c>
      <c r="I595" s="803">
        <f t="shared" ca="1" si="143"/>
        <v>85.841299192867922</v>
      </c>
      <c r="J595" s="803">
        <f t="shared" ca="1" si="143"/>
        <v>85.841299192867922</v>
      </c>
      <c r="K595" s="803">
        <f t="shared" ca="1" si="143"/>
        <v>85.841299192867922</v>
      </c>
      <c r="L595" s="803">
        <f t="shared" ca="1" si="143"/>
        <v>85.841299192867922</v>
      </c>
      <c r="M595" s="803">
        <f t="shared" ca="1" si="143"/>
        <v>85.841299192867922</v>
      </c>
      <c r="P595" s="159"/>
      <c r="Q595" s="104"/>
      <c r="R595" s="104"/>
      <c r="S595" s="104"/>
      <c r="T595" s="803"/>
      <c r="U595" s="803"/>
    </row>
    <row r="596" spans="2:21" x14ac:dyDescent="0.15">
      <c r="B596" s="159"/>
      <c r="C596" s="159"/>
      <c r="D596" s="159"/>
      <c r="E596" s="803"/>
      <c r="F596" s="158"/>
      <c r="G596" s="803"/>
      <c r="H596" s="803"/>
      <c r="I596" s="803"/>
      <c r="J596" s="803"/>
      <c r="K596" s="803"/>
      <c r="L596" s="803"/>
      <c r="M596" s="803"/>
      <c r="P596" s="159"/>
      <c r="Q596" s="104"/>
      <c r="R596" s="104"/>
      <c r="S596" s="104"/>
      <c r="T596" s="803"/>
      <c r="U596" s="803"/>
    </row>
    <row r="597" spans="2:21" ht="14" x14ac:dyDescent="0.15">
      <c r="B597" s="725" t="s">
        <v>1282</v>
      </c>
      <c r="C597" s="159"/>
      <c r="D597" s="159"/>
      <c r="E597" s="803"/>
      <c r="F597" s="158"/>
      <c r="G597" s="803"/>
      <c r="H597" s="803"/>
      <c r="I597" s="803"/>
      <c r="J597" s="803"/>
      <c r="K597" s="803"/>
      <c r="L597" s="803"/>
      <c r="M597" s="803"/>
      <c r="P597" s="159"/>
      <c r="Q597" s="104"/>
      <c r="R597" s="104"/>
      <c r="S597" s="104"/>
      <c r="T597" s="803"/>
      <c r="U597" s="803"/>
    </row>
    <row r="598" spans="2:21" ht="16" x14ac:dyDescent="0.2">
      <c r="B598" s="159" t="s">
        <v>1283</v>
      </c>
      <c r="C598" s="159"/>
      <c r="D598" s="159"/>
      <c r="E598" s="803"/>
      <c r="F598" s="158"/>
      <c r="G598" s="803">
        <f ca="1">G590+G595</f>
        <v>375.47170710469834</v>
      </c>
      <c r="H598" s="803">
        <f t="shared" ref="H598:M598" ca="1" si="144">H590+H595</f>
        <v>375.47170710469834</v>
      </c>
      <c r="I598" s="803">
        <f t="shared" ca="1" si="144"/>
        <v>375.47170710469834</v>
      </c>
      <c r="J598" s="803">
        <f t="shared" ca="1" si="144"/>
        <v>375.47170710469834</v>
      </c>
      <c r="K598" s="803">
        <f t="shared" ca="1" si="144"/>
        <v>375.47170710469834</v>
      </c>
      <c r="L598" s="803">
        <f t="shared" ca="1" si="144"/>
        <v>375.47170710469834</v>
      </c>
      <c r="M598" s="803">
        <f t="shared" ca="1" si="144"/>
        <v>375.47170710469834</v>
      </c>
      <c r="P598" s="726"/>
      <c r="Q598" s="104"/>
      <c r="R598" s="104"/>
      <c r="S598" s="104"/>
      <c r="T598" s="803"/>
      <c r="U598" s="803"/>
    </row>
    <row r="599" spans="2:21" ht="14" x14ac:dyDescent="0.15">
      <c r="B599" s="159"/>
      <c r="C599" s="159"/>
      <c r="D599" s="159"/>
      <c r="E599" s="803"/>
      <c r="F599" s="158"/>
      <c r="G599" s="803"/>
      <c r="H599" s="803"/>
      <c r="I599" s="803"/>
      <c r="J599" s="803"/>
      <c r="K599" s="803"/>
      <c r="L599" s="803"/>
      <c r="M599" s="803"/>
      <c r="P599" s="725"/>
      <c r="Q599" s="803"/>
      <c r="R599" s="803"/>
      <c r="S599" s="803"/>
      <c r="T599" s="803"/>
      <c r="U599" s="803"/>
    </row>
    <row r="600" spans="2:21" ht="16" x14ac:dyDescent="0.2">
      <c r="B600" s="726" t="s">
        <v>2408</v>
      </c>
      <c r="C600" s="701"/>
      <c r="D600" s="562"/>
      <c r="E600" s="803"/>
      <c r="F600" s="158"/>
      <c r="G600" s="803"/>
      <c r="H600" s="803"/>
      <c r="I600" s="803"/>
      <c r="J600" s="803"/>
      <c r="K600" s="803"/>
      <c r="L600" s="803"/>
      <c r="M600" s="803"/>
      <c r="P600" s="8"/>
      <c r="Q600" s="803"/>
      <c r="R600" s="803"/>
      <c r="S600" s="803"/>
      <c r="T600" s="803"/>
      <c r="U600" s="803"/>
    </row>
    <row r="601" spans="2:21" ht="14" x14ac:dyDescent="0.15">
      <c r="B601" s="725" t="s">
        <v>1285</v>
      </c>
      <c r="C601" s="804"/>
      <c r="D601" s="804"/>
      <c r="E601" s="803"/>
      <c r="F601" s="158"/>
      <c r="G601" s="803"/>
      <c r="H601" s="803"/>
      <c r="I601" s="803"/>
      <c r="J601" s="803"/>
      <c r="K601" s="803"/>
      <c r="L601" s="803"/>
      <c r="M601" s="803"/>
      <c r="P601" s="8"/>
      <c r="Q601" s="803"/>
      <c r="R601" s="803"/>
      <c r="S601" s="803"/>
      <c r="T601" s="803"/>
      <c r="U601" s="803"/>
    </row>
    <row r="602" spans="2:21" x14ac:dyDescent="0.15">
      <c r="B602" s="8" t="s">
        <v>1322</v>
      </c>
      <c r="F602" s="1153"/>
      <c r="G602" s="853">
        <f t="shared" ref="G602:M602" ca="1" si="145">G178+G179</f>
        <v>821.16993044010178</v>
      </c>
      <c r="H602" s="853">
        <f t="shared" ca="1" si="145"/>
        <v>821.16993044010178</v>
      </c>
      <c r="I602" s="853">
        <f t="shared" ca="1" si="145"/>
        <v>821.16993044010178</v>
      </c>
      <c r="J602" s="853">
        <f t="shared" ca="1" si="145"/>
        <v>821.16993044010178</v>
      </c>
      <c r="K602" s="853">
        <f t="shared" ca="1" si="145"/>
        <v>821.16993044010178</v>
      </c>
      <c r="L602" s="853">
        <f t="shared" ca="1" si="145"/>
        <v>821.16993044010178</v>
      </c>
      <c r="M602" s="853">
        <f t="shared" ca="1" si="145"/>
        <v>821.16993044010178</v>
      </c>
      <c r="P602" s="159"/>
      <c r="Q602" s="803"/>
      <c r="R602" s="803"/>
      <c r="S602" s="803"/>
      <c r="T602" s="1041"/>
      <c r="U602" s="1041"/>
    </row>
    <row r="603" spans="2:21" x14ac:dyDescent="0.15">
      <c r="B603" s="8" t="str">
        <f>"Direct labor at $" &amp; 'Cost Input'!$F$93 &amp; "/hour, $/pack"</f>
        <v>Direct labor at $25/hour, $/pack</v>
      </c>
      <c r="C603" s="159"/>
      <c r="D603" s="159"/>
      <c r="E603" s="803"/>
      <c r="F603" s="158"/>
      <c r="G603" s="1037">
        <f ca="1">'Cost Input'!$F$93/G$9*G460</f>
        <v>8.7166666666666792</v>
      </c>
      <c r="H603" s="1037">
        <f ca="1">'Cost Input'!$F$93/H$9*H460</f>
        <v>8.7166666666666792</v>
      </c>
      <c r="I603" s="1037">
        <f ca="1">'Cost Input'!$F$93/I$9*I460</f>
        <v>8.7166666666666792</v>
      </c>
      <c r="J603" s="1037">
        <f ca="1">'Cost Input'!$F$93/J$9*J460</f>
        <v>8.7166666666666792</v>
      </c>
      <c r="K603" s="1037">
        <f ca="1">'Cost Input'!$F$93/K$9*K460</f>
        <v>8.7166666666666792</v>
      </c>
      <c r="L603" s="1037">
        <f ca="1">'Cost Input'!$F$93/L$9*L460</f>
        <v>8.7166666666666792</v>
      </c>
      <c r="M603" s="1037">
        <f ca="1">'Cost Input'!$F$93/M$9*M460</f>
        <v>8.7166666666666792</v>
      </c>
      <c r="P603" s="159"/>
      <c r="Q603" s="803"/>
      <c r="R603" s="803"/>
      <c r="S603" s="803"/>
      <c r="T603" s="1037"/>
      <c r="U603" s="1037"/>
    </row>
    <row r="604" spans="2:21" x14ac:dyDescent="0.15">
      <c r="B604" s="8" t="str">
        <f>"Energy at $"  &amp; 'Cost Input'!$F$94 &amp; "/kWh, $/pack"</f>
        <v>Energy at $0.04/kWh, $/pack</v>
      </c>
      <c r="C604" s="159"/>
      <c r="D604" s="159"/>
      <c r="E604" s="803"/>
      <c r="F604" s="158"/>
      <c r="G604" s="1037">
        <f ca="1">'Cost Input'!$F$94*G463*1000000/G9</f>
        <v>6.0058995410296108</v>
      </c>
      <c r="H604" s="1037">
        <f ca="1">'Cost Input'!$F$94*H463*1000000/H9</f>
        <v>6.0058995410296108</v>
      </c>
      <c r="I604" s="1037">
        <f ca="1">'Cost Input'!$F$94*I463*1000000/I9</f>
        <v>6.0058995410296108</v>
      </c>
      <c r="J604" s="1037">
        <f ca="1">'Cost Input'!$F$94*J463*1000000/J9</f>
        <v>6.0058995410296108</v>
      </c>
      <c r="K604" s="1037">
        <f ca="1">'Cost Input'!$F$94*K463*1000000/K9</f>
        <v>6.0058995410296108</v>
      </c>
      <c r="L604" s="1037">
        <f ca="1">'Cost Input'!$F$94*L463*1000000/L9</f>
        <v>6.0058995410296108</v>
      </c>
      <c r="M604" s="1037">
        <f ca="1">'Cost Input'!$F$94*M463*1000000/M9</f>
        <v>6.0058995410296108</v>
      </c>
      <c r="N604" s="1037" t="e">
        <f>'Cost Input'!$F$94*(N463 - N451)*1000000/N11</f>
        <v>#DIV/0!</v>
      </c>
      <c r="P604" s="159"/>
      <c r="Q604" s="803"/>
      <c r="R604" s="803"/>
      <c r="S604" s="803"/>
      <c r="T604" s="1037"/>
      <c r="U604" s="1037"/>
    </row>
    <row r="605" spans="2:21" ht="14" x14ac:dyDescent="0.15">
      <c r="B605" s="159" t="s">
        <v>1323</v>
      </c>
      <c r="C605" s="159"/>
      <c r="D605" s="159"/>
      <c r="E605" s="805"/>
      <c r="F605" s="803"/>
      <c r="G605" s="1044">
        <f ca="1">'Cost Input'!$F$96/100*G603+'Cost Input'!$F$97/100*G590/G9*1000000</f>
        <v>15.071882983139888</v>
      </c>
      <c r="H605" s="1044">
        <f ca="1">'Cost Input'!$F$96/100*H603+'Cost Input'!$F$97/100*H590/H9*1000000</f>
        <v>15.071882983139888</v>
      </c>
      <c r="I605" s="1044">
        <f ca="1">'Cost Input'!$F$96/100*I603+'Cost Input'!$F$97/100*I590/I9*1000000</f>
        <v>15.071882983139888</v>
      </c>
      <c r="J605" s="1044">
        <f ca="1">'Cost Input'!$F$96/100*J603+'Cost Input'!$F$97/100*J590/J9*1000000</f>
        <v>15.071882983139888</v>
      </c>
      <c r="K605" s="1044">
        <f ca="1">'Cost Input'!$F$96/100*K603+'Cost Input'!$F$97/100*K590/K9*1000000</f>
        <v>15.071882983139888</v>
      </c>
      <c r="L605" s="1044">
        <f ca="1">'Cost Input'!$F$96/100*L603+'Cost Input'!$F$97/100*L590/L9*1000000</f>
        <v>15.071882983139888</v>
      </c>
      <c r="M605" s="1044">
        <f ca="1">'Cost Input'!$F$96/100*M603+'Cost Input'!$F$97/100*M590/M9*1000000</f>
        <v>15.071882983139888</v>
      </c>
      <c r="P605" s="507"/>
      <c r="Q605" s="803"/>
      <c r="R605" s="803"/>
      <c r="S605" s="803"/>
      <c r="T605" s="1044"/>
      <c r="U605" s="1044"/>
    </row>
    <row r="606" spans="2:21" x14ac:dyDescent="0.15">
      <c r="B606" s="159" t="s">
        <v>1324</v>
      </c>
      <c r="C606" s="159"/>
      <c r="D606" s="159"/>
      <c r="E606" s="805"/>
      <c r="F606" s="803"/>
      <c r="G606" s="1045">
        <f ca="1">SUM(G602:G605)</f>
        <v>850.96437963093797</v>
      </c>
      <c r="H606" s="1045">
        <f t="shared" ref="H606:M606" ca="1" si="146">SUM(H602:H605)</f>
        <v>850.96437963093797</v>
      </c>
      <c r="I606" s="1045">
        <f t="shared" ca="1" si="146"/>
        <v>850.96437963093797</v>
      </c>
      <c r="J606" s="1045">
        <f t="shared" ca="1" si="146"/>
        <v>850.96437963093797</v>
      </c>
      <c r="K606" s="1045">
        <f t="shared" ca="1" si="146"/>
        <v>850.96437963093797</v>
      </c>
      <c r="L606" s="1045">
        <f t="shared" ca="1" si="146"/>
        <v>850.96437963093797</v>
      </c>
      <c r="M606" s="1045">
        <f t="shared" ca="1" si="146"/>
        <v>850.96437963093797</v>
      </c>
      <c r="P606" s="8"/>
      <c r="Q606" s="803"/>
      <c r="R606" s="803"/>
      <c r="S606" s="803"/>
      <c r="T606" s="1044"/>
      <c r="U606" s="1044"/>
    </row>
    <row r="607" spans="2:21" x14ac:dyDescent="0.15">
      <c r="B607" s="159"/>
      <c r="C607" s="159"/>
      <c r="D607" s="159"/>
      <c r="E607" s="805"/>
      <c r="F607" s="803"/>
      <c r="G607" s="806"/>
      <c r="H607" s="806"/>
      <c r="I607" s="806"/>
      <c r="J607" s="806"/>
      <c r="K607" s="806"/>
      <c r="L607" s="806"/>
      <c r="M607" s="806"/>
      <c r="P607" s="8"/>
      <c r="Q607" s="853"/>
      <c r="R607" s="853"/>
      <c r="S607" s="853"/>
      <c r="T607" s="806"/>
      <c r="U607" s="806"/>
    </row>
    <row r="608" spans="2:21" ht="14" x14ac:dyDescent="0.15">
      <c r="B608" s="507" t="s">
        <v>1289</v>
      </c>
      <c r="C608" s="374"/>
      <c r="D608" s="32"/>
      <c r="E608" s="104"/>
      <c r="F608" s="375"/>
      <c r="G608" s="364"/>
      <c r="H608" s="364"/>
      <c r="I608" s="364"/>
      <c r="J608" s="364"/>
      <c r="K608" s="364"/>
      <c r="L608" s="364"/>
      <c r="M608" s="364"/>
      <c r="P608" s="8"/>
      <c r="Q608" s="1039"/>
      <c r="R608" s="1039"/>
      <c r="S608" s="1039"/>
      <c r="T608" s="364"/>
      <c r="U608" s="364"/>
    </row>
    <row r="609" spans="2:21" x14ac:dyDescent="0.15">
      <c r="B609" s="8" t="s">
        <v>1325</v>
      </c>
      <c r="C609" s="95"/>
      <c r="D609" s="8"/>
      <c r="E609" s="104"/>
      <c r="F609" s="375"/>
      <c r="G609" s="1036">
        <f ca="1">('Cost Input'!$F$107/100*G587+'Cost Input'!$F$109/100*G588)*1000000/G$9</f>
        <v>41.558888427493272</v>
      </c>
      <c r="H609" s="1036">
        <f ca="1">('Cost Input'!$F$107/100*H587+'Cost Input'!$F$109/100*H588)*1000000/H$9</f>
        <v>41.558888427493272</v>
      </c>
      <c r="I609" s="1036">
        <f ca="1">('Cost Input'!$F$107/100*I587+'Cost Input'!$F$109/100*I588)*1000000/I$9</f>
        <v>41.558888427493272</v>
      </c>
      <c r="J609" s="1036">
        <f ca="1">('Cost Input'!$F$107/100*J587+'Cost Input'!$F$109/100*J588)*1000000/J$9</f>
        <v>41.558888427493272</v>
      </c>
      <c r="K609" s="1036">
        <f ca="1">('Cost Input'!$F$107/100*K587+'Cost Input'!$F$109/100*K588)*1000000/K$9</f>
        <v>41.558888427493272</v>
      </c>
      <c r="L609" s="1036">
        <f ca="1">('Cost Input'!$F$107/100*L587+'Cost Input'!$F$109/100*L588)*1000000/L$9</f>
        <v>41.558888427493272</v>
      </c>
      <c r="M609" s="1036">
        <f ca="1">('Cost Input'!$F$107/100*M587+'Cost Input'!$F$109/100*M588)*1000000/M$9</f>
        <v>41.558888427493272</v>
      </c>
      <c r="P609" s="8"/>
      <c r="Q609" s="1039"/>
      <c r="R609" s="1039"/>
      <c r="S609" s="1039"/>
      <c r="T609" s="1036"/>
      <c r="U609" s="1036"/>
    </row>
    <row r="610" spans="2:21" x14ac:dyDescent="0.15">
      <c r="B610" s="8" t="s">
        <v>1326</v>
      </c>
      <c r="C610" s="95"/>
      <c r="D610" s="8"/>
      <c r="E610" s="104"/>
      <c r="F610" s="375"/>
      <c r="G610" s="1036">
        <f ca="1">'Cost Input'!$F$101/100*(G603+G605)+'Cost Input'!$F$102/100*G590/G9*1000000</f>
        <v>10.291593531129099</v>
      </c>
      <c r="H610" s="1036">
        <f ca="1">'Cost Input'!$F$101/100*(H603+H605)+'Cost Input'!$F$102/100*H590/H9*1000000</f>
        <v>10.291593531129099</v>
      </c>
      <c r="I610" s="1036">
        <f ca="1">'Cost Input'!$F$101/100*(I603+I605)+'Cost Input'!$F$102/100*I590/I9*1000000</f>
        <v>10.291593531129099</v>
      </c>
      <c r="J610" s="1036">
        <f ca="1">'Cost Input'!$F$101/100*(J603+J605)+'Cost Input'!$F$102/100*J590/J9*1000000</f>
        <v>10.291593531129099</v>
      </c>
      <c r="K610" s="1036">
        <f ca="1">'Cost Input'!$F$101/100*(K603+K605)+'Cost Input'!$F$102/100*K590/K9*1000000</f>
        <v>10.291593531129099</v>
      </c>
      <c r="L610" s="1036">
        <f ca="1">'Cost Input'!$F$101/100*(L603+L605)+'Cost Input'!$F$102/100*L590/L9*1000000</f>
        <v>10.291593531129099</v>
      </c>
      <c r="M610" s="1036">
        <f ca="1">'Cost Input'!$F$101/100*(M603+M605)+'Cost Input'!$F$102/100*M590/M9*1000000</f>
        <v>10.291593531129099</v>
      </c>
      <c r="P610" s="8"/>
      <c r="Q610" s="1045"/>
      <c r="R610" s="1045"/>
      <c r="S610" s="1045"/>
      <c r="T610" s="1036"/>
      <c r="U610" s="1036"/>
    </row>
    <row r="611" spans="2:21" ht="14" x14ac:dyDescent="0.15">
      <c r="B611" s="8" t="s">
        <v>1327</v>
      </c>
      <c r="C611" s="95"/>
      <c r="D611" s="8"/>
      <c r="E611" s="104"/>
      <c r="F611" s="375"/>
      <c r="G611" s="1036">
        <f ca="1">G609*'Cost Input'!$F$103/100</f>
        <v>14.545610949622647</v>
      </c>
      <c r="H611" s="1036">
        <f ca="1">H609*'Cost Input'!$F$103/100</f>
        <v>14.545610949622647</v>
      </c>
      <c r="I611" s="1036">
        <f ca="1">I609*'Cost Input'!$F$103/100</f>
        <v>14.545610949622647</v>
      </c>
      <c r="J611" s="1036">
        <f ca="1">J609*'Cost Input'!$F$103/100</f>
        <v>14.545610949622647</v>
      </c>
      <c r="K611" s="1036">
        <f ca="1">K609*'Cost Input'!$F$103/100</f>
        <v>14.545610949622647</v>
      </c>
      <c r="L611" s="1036">
        <f ca="1">L609*'Cost Input'!$F$103/100</f>
        <v>14.545610949622647</v>
      </c>
      <c r="M611" s="1036">
        <f ca="1">M609*'Cost Input'!$F$103/100</f>
        <v>14.545610949622647</v>
      </c>
      <c r="P611" s="507"/>
      <c r="Q611" s="1045"/>
      <c r="R611" s="1045"/>
      <c r="S611" s="1045"/>
      <c r="T611" s="1036"/>
      <c r="U611" s="1036"/>
    </row>
    <row r="612" spans="2:21" x14ac:dyDescent="0.15">
      <c r="B612" s="8" t="s">
        <v>1328</v>
      </c>
      <c r="C612" s="95"/>
      <c r="D612" s="8"/>
      <c r="E612" s="104"/>
      <c r="F612" s="375"/>
      <c r="G612" s="1036">
        <f ca="1">'Cost Input'!$F$110/100*'Manufacturing Costs'!G598/'Manufacturing Costs'!G9*1000000</f>
        <v>5.6320756065704751</v>
      </c>
      <c r="H612" s="1036">
        <f ca="1">'Cost Input'!$F$110/100*'Manufacturing Costs'!H598/'Manufacturing Costs'!H9*1000000</f>
        <v>5.6320756065704751</v>
      </c>
      <c r="I612" s="1036">
        <f ca="1">'Cost Input'!$F$110/100*'Manufacturing Costs'!I598/'Manufacturing Costs'!I9*1000000</f>
        <v>5.6320756065704751</v>
      </c>
      <c r="J612" s="1036">
        <f ca="1">'Cost Input'!$F$110/100*'Manufacturing Costs'!J598/'Manufacturing Costs'!J9*1000000</f>
        <v>5.6320756065704751</v>
      </c>
      <c r="K612" s="1036">
        <f ca="1">'Cost Input'!$F$110/100*'Manufacturing Costs'!K598/'Manufacturing Costs'!K9*1000000</f>
        <v>5.6320756065704751</v>
      </c>
      <c r="L612" s="1036">
        <f ca="1">'Cost Input'!$F$110/100*'Manufacturing Costs'!L598/'Manufacturing Costs'!L9*1000000</f>
        <v>5.6320756065704751</v>
      </c>
      <c r="M612" s="1036">
        <f ca="1">'Cost Input'!$F$110/100*'Manufacturing Costs'!M598/'Manufacturing Costs'!M9*1000000</f>
        <v>5.6320756065704751</v>
      </c>
      <c r="P612" s="8"/>
      <c r="Q612" s="806"/>
      <c r="R612" s="806"/>
      <c r="S612" s="806"/>
      <c r="T612" s="1036"/>
      <c r="U612" s="1036"/>
    </row>
    <row r="613" spans="2:21" x14ac:dyDescent="0.15">
      <c r="B613" s="8" t="s">
        <v>1329</v>
      </c>
      <c r="C613" s="95"/>
      <c r="D613" s="8"/>
      <c r="E613" s="104"/>
      <c r="F613" s="375"/>
      <c r="G613" s="1036">
        <f ca="1">G610+G611+G609+G612</f>
        <v>72.028168514815491</v>
      </c>
      <c r="H613" s="1036">
        <f t="shared" ref="H613:M613" ca="1" si="147">H610+H611+H609+H612</f>
        <v>72.028168514815491</v>
      </c>
      <c r="I613" s="1036">
        <f t="shared" ca="1" si="147"/>
        <v>72.028168514815491</v>
      </c>
      <c r="J613" s="1036">
        <f t="shared" ca="1" si="147"/>
        <v>72.028168514815491</v>
      </c>
      <c r="K613" s="1036">
        <f t="shared" ca="1" si="147"/>
        <v>72.028168514815491</v>
      </c>
      <c r="L613" s="1036">
        <f t="shared" ca="1" si="147"/>
        <v>72.028168514815491</v>
      </c>
      <c r="M613" s="1036">
        <f t="shared" ca="1" si="147"/>
        <v>72.028168514815491</v>
      </c>
      <c r="P613" s="8"/>
      <c r="Q613" s="364"/>
      <c r="R613" s="364"/>
      <c r="S613" s="364"/>
      <c r="T613" s="1036"/>
      <c r="U613" s="1036"/>
    </row>
    <row r="614" spans="2:21" x14ac:dyDescent="0.15">
      <c r="B614" s="8"/>
      <c r="C614" s="95"/>
      <c r="D614" s="8"/>
      <c r="E614" s="104"/>
      <c r="F614" s="375"/>
      <c r="G614" s="95"/>
      <c r="H614" s="95"/>
      <c r="I614" s="95"/>
      <c r="J614" s="95"/>
      <c r="K614" s="95"/>
      <c r="L614" s="95"/>
      <c r="M614" s="95"/>
      <c r="P614" s="8"/>
      <c r="Q614" s="854"/>
      <c r="R614" s="854"/>
      <c r="S614" s="854"/>
      <c r="T614" s="95"/>
      <c r="U614" s="95"/>
    </row>
    <row r="615" spans="2:21" ht="14" x14ac:dyDescent="0.15">
      <c r="B615" s="507" t="s">
        <v>1330</v>
      </c>
      <c r="C615" s="95"/>
      <c r="D615" s="8"/>
      <c r="E615" s="104"/>
      <c r="F615" s="375"/>
      <c r="G615" s="95"/>
      <c r="H615" s="95"/>
      <c r="I615" s="95"/>
      <c r="J615" s="95"/>
      <c r="K615" s="95"/>
      <c r="L615" s="95"/>
      <c r="M615" s="95"/>
      <c r="P615" s="8"/>
      <c r="Q615" s="854"/>
      <c r="R615" s="854"/>
      <c r="S615" s="854"/>
      <c r="T615" s="95"/>
      <c r="U615" s="95"/>
    </row>
    <row r="616" spans="2:21" x14ac:dyDescent="0.15">
      <c r="B616" s="8" t="s">
        <v>1331</v>
      </c>
      <c r="C616" s="95"/>
      <c r="D616" s="8"/>
      <c r="E616" s="104"/>
      <c r="F616" s="375"/>
      <c r="G616" s="1201">
        <f ca="1">'Cost Input'!$F$113/100*G598*1000000/G9*Lists!$C$162</f>
        <v>37.547170710469835</v>
      </c>
      <c r="H616" s="1201">
        <f ca="1">'Cost Input'!$F$113/100*H598*1000000/H9*Lists!$C$162</f>
        <v>37.547170710469835</v>
      </c>
      <c r="I616" s="1201">
        <f ca="1">'Cost Input'!$F$113/100*I598*1000000/I9*Lists!$C$162</f>
        <v>37.547170710469835</v>
      </c>
      <c r="J616" s="1201">
        <f ca="1">'Cost Input'!$F$113/100*J598*1000000/J9*Lists!$C$162</f>
        <v>37.547170710469835</v>
      </c>
      <c r="K616" s="1201">
        <f ca="1">'Cost Input'!$F$113/100*K598*1000000/K9*Lists!$C$162</f>
        <v>37.547170710469835</v>
      </c>
      <c r="L616" s="1201">
        <f ca="1">'Cost Input'!$F$113/100*L598*1000000/L9*Lists!$C$162</f>
        <v>37.547170710469835</v>
      </c>
      <c r="M616" s="1201">
        <f ca="1">'Cost Input'!$F$113/100*M598*1000000/M9*Lists!$C$162</f>
        <v>37.547170710469835</v>
      </c>
      <c r="P616" s="8"/>
      <c r="Q616" s="854"/>
      <c r="R616" s="854"/>
      <c r="S616" s="854"/>
      <c r="T616" s="95"/>
      <c r="U616" s="95"/>
    </row>
    <row r="617" spans="2:21" x14ac:dyDescent="0.15">
      <c r="B617" s="8" t="s">
        <v>1332</v>
      </c>
      <c r="C617" s="95"/>
      <c r="D617" s="8"/>
      <c r="E617" s="104"/>
      <c r="F617" s="375"/>
      <c r="G617" s="1201">
        <f ca="1">'Cost Input'!$F$114/100*(G606+G613+G616)*Lists!$D$162</f>
        <v>53.790224255948502</v>
      </c>
      <c r="H617" s="1201">
        <f ca="1">'Cost Input'!$F$114/100*(H606+H613+H616)*Lists!$D$162</f>
        <v>53.790224255948502</v>
      </c>
      <c r="I617" s="1201">
        <f ca="1">'Cost Input'!$F$114/100*(I606+I613+I616)*Lists!$D$162</f>
        <v>53.790224255948502</v>
      </c>
      <c r="J617" s="1201">
        <f ca="1">'Cost Input'!$F$114/100*(J606+J613+J616)*Lists!$D$162</f>
        <v>53.790224255948502</v>
      </c>
      <c r="K617" s="1201">
        <f ca="1">'Cost Input'!$F$114/100*(K606+K613+K616)*Lists!$D$162</f>
        <v>53.790224255948502</v>
      </c>
      <c r="L617" s="1201">
        <f ca="1">'Cost Input'!$F$114/100*(L606+L613+L616)*Lists!$D$162</f>
        <v>53.790224255948502</v>
      </c>
      <c r="M617" s="1201">
        <f ca="1">'Cost Input'!$F$114/100*(M606+M613+M616)*Lists!$D$162</f>
        <v>53.790224255948502</v>
      </c>
      <c r="P617" s="8"/>
      <c r="Q617" s="854"/>
      <c r="R617" s="854"/>
      <c r="S617" s="854"/>
      <c r="T617" s="95"/>
      <c r="U617" s="95"/>
    </row>
    <row r="618" spans="2:21" x14ac:dyDescent="0.15">
      <c r="B618" s="8"/>
      <c r="C618" s="95"/>
      <c r="D618" s="8"/>
      <c r="E618" s="104"/>
      <c r="F618" s="375"/>
      <c r="G618" s="1201"/>
      <c r="H618" s="1201"/>
      <c r="I618" s="1201"/>
      <c r="J618" s="1201"/>
      <c r="K618" s="1201"/>
      <c r="L618" s="1201"/>
      <c r="M618" s="1201"/>
      <c r="P618" s="8"/>
      <c r="Q618" s="854"/>
      <c r="R618" s="854"/>
      <c r="S618" s="854"/>
      <c r="T618" s="95"/>
      <c r="U618" s="95"/>
    </row>
    <row r="619" spans="2:21" ht="14" x14ac:dyDescent="0.15">
      <c r="B619" s="507" t="s">
        <v>1333</v>
      </c>
      <c r="C619" s="95"/>
      <c r="D619" s="8"/>
      <c r="E619" s="129"/>
      <c r="F619" s="375"/>
      <c r="G619" s="144"/>
      <c r="H619" s="144"/>
      <c r="I619" s="144"/>
      <c r="J619" s="144"/>
      <c r="K619" s="144"/>
      <c r="L619" s="144"/>
      <c r="M619" s="144"/>
      <c r="P619" s="507"/>
      <c r="Q619" s="854"/>
      <c r="R619" s="854"/>
      <c r="S619" s="854"/>
      <c r="T619" s="144"/>
      <c r="U619" s="144"/>
    </row>
    <row r="620" spans="2:21" x14ac:dyDescent="0.15">
      <c r="B620" s="8" t="s">
        <v>1334</v>
      </c>
      <c r="C620" s="95"/>
      <c r="D620" s="8"/>
      <c r="E620" s="129"/>
      <c r="F620" s="375"/>
      <c r="G620" s="1202">
        <f ca="1">G606+G613</f>
        <v>922.99254814575352</v>
      </c>
      <c r="H620" s="1202">
        <f t="shared" ref="H620:M620" ca="1" si="148">H606+H613</f>
        <v>922.99254814575352</v>
      </c>
      <c r="I620" s="1202">
        <f t="shared" ca="1" si="148"/>
        <v>922.99254814575352</v>
      </c>
      <c r="J620" s="1202">
        <f t="shared" ca="1" si="148"/>
        <v>922.99254814575352</v>
      </c>
      <c r="K620" s="1202">
        <f t="shared" ca="1" si="148"/>
        <v>922.99254814575352</v>
      </c>
      <c r="L620" s="1202">
        <f t="shared" ca="1" si="148"/>
        <v>922.99254814575352</v>
      </c>
      <c r="M620" s="1202">
        <f t="shared" ca="1" si="148"/>
        <v>922.99254814575352</v>
      </c>
      <c r="N620" s="854">
        <f>N606+N613</f>
        <v>0</v>
      </c>
      <c r="P620" s="854"/>
      <c r="Q620" s="854"/>
      <c r="R620" s="854"/>
      <c r="S620" s="854"/>
      <c r="T620" s="854"/>
      <c r="U620" s="854"/>
    </row>
    <row r="621" spans="2:21" x14ac:dyDescent="0.15">
      <c r="B621" s="8" t="s">
        <v>1335</v>
      </c>
      <c r="C621" s="95"/>
      <c r="D621" s="8"/>
      <c r="E621" s="104"/>
      <c r="F621" s="375"/>
      <c r="G621" s="815">
        <f ca="1">G620+G617+G616</f>
        <v>1014.3299431121718</v>
      </c>
      <c r="H621" s="815">
        <f t="shared" ref="H621:M621" ca="1" si="149">H620+H617+H616</f>
        <v>1014.3299431121718</v>
      </c>
      <c r="I621" s="815">
        <f t="shared" ca="1" si="149"/>
        <v>1014.3299431121718</v>
      </c>
      <c r="J621" s="815">
        <f t="shared" ca="1" si="149"/>
        <v>1014.3299431121718</v>
      </c>
      <c r="K621" s="815">
        <f t="shared" ca="1" si="149"/>
        <v>1014.3299431121718</v>
      </c>
      <c r="L621" s="815">
        <f t="shared" ca="1" si="149"/>
        <v>1014.3299431121718</v>
      </c>
      <c r="M621" s="815">
        <f t="shared" ca="1" si="149"/>
        <v>1014.3299431121718</v>
      </c>
      <c r="Q621" s="854"/>
      <c r="R621" s="854"/>
      <c r="S621" s="854"/>
      <c r="T621" s="854"/>
      <c r="U621" s="854"/>
    </row>
    <row r="622" spans="2:21" ht="14" thickBot="1" x14ac:dyDescent="0.2">
      <c r="G622" s="1078"/>
      <c r="H622" s="95"/>
    </row>
    <row r="623" spans="2:21" ht="19" thickBot="1" x14ac:dyDescent="0.25">
      <c r="B623" s="1335" t="s">
        <v>1336</v>
      </c>
      <c r="C623" s="1336"/>
      <c r="D623" s="1336"/>
      <c r="E623" s="1336"/>
      <c r="F623" s="1336"/>
      <c r="G623" s="1336"/>
      <c r="H623" s="1336"/>
      <c r="I623" s="1336"/>
      <c r="J623" s="1336"/>
      <c r="K623" s="1336"/>
      <c r="L623" s="1336"/>
      <c r="M623" s="1337"/>
    </row>
    <row r="624" spans="2:21" x14ac:dyDescent="0.15">
      <c r="H624" s="95"/>
    </row>
    <row r="625" spans="2:25" ht="16" x14ac:dyDescent="0.2">
      <c r="B625" s="726" t="s">
        <v>1337</v>
      </c>
      <c r="C625" s="95"/>
      <c r="D625" s="8"/>
      <c r="E625" s="129"/>
      <c r="F625" s="375"/>
      <c r="G625" s="144"/>
      <c r="H625" s="144"/>
      <c r="I625" s="144"/>
      <c r="J625" s="144"/>
      <c r="K625" s="144"/>
      <c r="L625" s="144"/>
      <c r="M625" s="144"/>
      <c r="P625" s="144"/>
      <c r="T625" s="144"/>
      <c r="U625" s="144"/>
      <c r="V625" s="144"/>
      <c r="W625" s="144"/>
      <c r="X625" s="144"/>
      <c r="Y625" s="144"/>
    </row>
    <row r="626" spans="2:25" x14ac:dyDescent="0.15">
      <c r="B626" s="159" t="s">
        <v>1276</v>
      </c>
      <c r="C626" s="95"/>
      <c r="D626" s="8"/>
      <c r="E626" s="129"/>
      <c r="F626" s="375"/>
      <c r="G626" s="144">
        <f t="shared" ref="G626:M628" ca="1" si="150">(G587+G545+IF(_manufact_method &lt; 3, G498*G$29,0))</f>
        <v>3619.9703220120377</v>
      </c>
      <c r="H626" s="144">
        <f t="shared" ca="1" si="150"/>
        <v>3619.9703220120377</v>
      </c>
      <c r="I626" s="144">
        <f t="shared" ca="1" si="150"/>
        <v>3619.9703220120377</v>
      </c>
      <c r="J626" s="144">
        <f t="shared" ca="1" si="150"/>
        <v>3619.9703220120377</v>
      </c>
      <c r="K626" s="144">
        <f t="shared" ca="1" si="150"/>
        <v>3619.9703220120377</v>
      </c>
      <c r="L626" s="144">
        <f t="shared" ca="1" si="150"/>
        <v>3619.9703220120377</v>
      </c>
      <c r="M626" s="144">
        <f t="shared" ca="1" si="150"/>
        <v>3619.9703220120377</v>
      </c>
      <c r="P626" s="144"/>
      <c r="T626" s="144"/>
      <c r="U626" s="144"/>
      <c r="V626" s="144"/>
      <c r="W626" s="144"/>
      <c r="X626" s="144"/>
      <c r="Y626" s="144"/>
    </row>
    <row r="627" spans="2:25" x14ac:dyDescent="0.15">
      <c r="B627" s="8" t="s">
        <v>1277</v>
      </c>
      <c r="C627" s="95"/>
      <c r="D627" s="8"/>
      <c r="E627" s="129"/>
      <c r="F627" s="375"/>
      <c r="G627" s="144">
        <f t="shared" ca="1" si="150"/>
        <v>282.06099163766351</v>
      </c>
      <c r="H627" s="144">
        <f t="shared" ca="1" si="150"/>
        <v>282.06099163766351</v>
      </c>
      <c r="I627" s="144">
        <f t="shared" ca="1" si="150"/>
        <v>282.06099163766351</v>
      </c>
      <c r="J627" s="144">
        <f t="shared" ca="1" si="150"/>
        <v>282.06099163766351</v>
      </c>
      <c r="K627" s="144">
        <f t="shared" ca="1" si="150"/>
        <v>282.06099163766351</v>
      </c>
      <c r="L627" s="144">
        <f t="shared" ca="1" si="150"/>
        <v>282.06099163766351</v>
      </c>
      <c r="M627" s="144">
        <f t="shared" ca="1" si="150"/>
        <v>282.06099163766351</v>
      </c>
      <c r="P627" s="144"/>
      <c r="T627" s="144"/>
      <c r="U627" s="144"/>
      <c r="V627" s="144"/>
      <c r="W627" s="144"/>
      <c r="X627" s="144"/>
      <c r="Y627" s="144"/>
    </row>
    <row r="628" spans="2:25" x14ac:dyDescent="0.15">
      <c r="B628" s="159" t="s">
        <v>1338</v>
      </c>
      <c r="C628" s="95"/>
      <c r="D628" s="8"/>
      <c r="E628" s="129"/>
      <c r="F628" s="375"/>
      <c r="G628" s="144">
        <f t="shared" ca="1" si="150"/>
        <v>585.30469704745519</v>
      </c>
      <c r="H628" s="144">
        <f t="shared" ca="1" si="150"/>
        <v>585.30469704745519</v>
      </c>
      <c r="I628" s="144">
        <f t="shared" ca="1" si="150"/>
        <v>585.30469704745519</v>
      </c>
      <c r="J628" s="144">
        <f t="shared" ca="1" si="150"/>
        <v>585.30469704745519</v>
      </c>
      <c r="K628" s="144">
        <f t="shared" ca="1" si="150"/>
        <v>585.30469704745519</v>
      </c>
      <c r="L628" s="144">
        <f t="shared" ca="1" si="150"/>
        <v>585.30469704745519</v>
      </c>
      <c r="M628" s="144">
        <f t="shared" ca="1" si="150"/>
        <v>585.30469704745519</v>
      </c>
      <c r="P628" s="144"/>
      <c r="T628" s="144"/>
      <c r="U628" s="144"/>
      <c r="V628" s="144"/>
      <c r="W628" s="144"/>
      <c r="X628" s="144"/>
      <c r="Y628" s="144"/>
    </row>
    <row r="629" spans="2:25" x14ac:dyDescent="0.15">
      <c r="B629" s="159" t="str">
        <f>"Launch costs, mil$"</f>
        <v>Launch costs, mil$</v>
      </c>
      <c r="C629" s="95"/>
      <c r="D629" s="8"/>
      <c r="E629" s="129"/>
      <c r="F629" s="375"/>
      <c r="G629" s="144">
        <f t="shared" ref="G629:M630" ca="1" si="151">(G593+G551+IF(_manufact_method &lt; 3, G504*G$29,0))</f>
        <v>264.15032837780814</v>
      </c>
      <c r="H629" s="144">
        <f t="shared" ca="1" si="151"/>
        <v>264.15032837780814</v>
      </c>
      <c r="I629" s="144">
        <f t="shared" ca="1" si="151"/>
        <v>264.15032837780814</v>
      </c>
      <c r="J629" s="144">
        <f t="shared" ca="1" si="151"/>
        <v>264.15032837780814</v>
      </c>
      <c r="K629" s="144">
        <f t="shared" ca="1" si="151"/>
        <v>264.15032837780814</v>
      </c>
      <c r="L629" s="144">
        <f t="shared" ca="1" si="151"/>
        <v>264.15032837780814</v>
      </c>
      <c r="M629" s="144">
        <f t="shared" ca="1" si="151"/>
        <v>264.15032837780814</v>
      </c>
      <c r="P629" s="144"/>
      <c r="T629" s="144"/>
      <c r="U629" s="144"/>
      <c r="V629" s="144"/>
      <c r="W629" s="144"/>
      <c r="X629" s="144"/>
      <c r="Y629" s="144"/>
    </row>
    <row r="630" spans="2:25" x14ac:dyDescent="0.15">
      <c r="B630" s="159" t="str">
        <f>"Working capital, mil$"</f>
        <v>Working capital, mil$</v>
      </c>
      <c r="C630" s="95"/>
      <c r="D630" s="8"/>
      <c r="E630" s="129"/>
      <c r="F630" s="375"/>
      <c r="G630" s="144">
        <f t="shared" ca="1" si="151"/>
        <v>748.3326795529548</v>
      </c>
      <c r="H630" s="144">
        <f t="shared" ca="1" si="151"/>
        <v>748.3326795529548</v>
      </c>
      <c r="I630" s="144">
        <f t="shared" ca="1" si="151"/>
        <v>748.3326795529548</v>
      </c>
      <c r="J630" s="144">
        <f t="shared" ca="1" si="151"/>
        <v>748.3326795529548</v>
      </c>
      <c r="K630" s="144">
        <f t="shared" ca="1" si="151"/>
        <v>748.3326795529548</v>
      </c>
      <c r="L630" s="144">
        <f t="shared" ca="1" si="151"/>
        <v>748.3326795529548</v>
      </c>
      <c r="M630" s="144">
        <f t="shared" ca="1" si="151"/>
        <v>748.3326795529548</v>
      </c>
      <c r="P630" s="144"/>
      <c r="T630" s="144"/>
      <c r="U630" s="144"/>
      <c r="V630" s="144"/>
      <c r="W630" s="144"/>
      <c r="X630" s="144"/>
      <c r="Y630" s="144"/>
    </row>
    <row r="631" spans="2:25" x14ac:dyDescent="0.15">
      <c r="B631" s="8" t="s">
        <v>1339</v>
      </c>
      <c r="C631" s="95"/>
      <c r="D631" s="8"/>
      <c r="E631" s="129"/>
      <c r="F631" s="375"/>
      <c r="G631" s="144">
        <f t="shared" ref="G631:M631" ca="1" si="152">(G598+G556+IF(_manufact_method &lt; 3, G509*G29,0))</f>
        <v>5499.8190186279189</v>
      </c>
      <c r="H631" s="144">
        <f t="shared" ca="1" si="152"/>
        <v>5499.8190186279189</v>
      </c>
      <c r="I631" s="144">
        <f t="shared" ca="1" si="152"/>
        <v>5499.8190186279189</v>
      </c>
      <c r="J631" s="144">
        <f t="shared" ca="1" si="152"/>
        <v>5499.8190186279189</v>
      </c>
      <c r="K631" s="144">
        <f t="shared" ca="1" si="152"/>
        <v>5499.8190186279189</v>
      </c>
      <c r="L631" s="144">
        <f t="shared" ca="1" si="152"/>
        <v>5499.8190186279189</v>
      </c>
      <c r="M631" s="144">
        <f t="shared" ca="1" si="152"/>
        <v>5499.8190186279189</v>
      </c>
      <c r="P631" s="144"/>
      <c r="T631" s="144"/>
      <c r="U631" s="144"/>
      <c r="V631" s="144"/>
      <c r="W631" s="144"/>
      <c r="X631" s="144"/>
      <c r="Y631" s="144"/>
    </row>
    <row r="632" spans="2:25" ht="14" x14ac:dyDescent="0.15">
      <c r="B632" s="507"/>
      <c r="C632" s="95"/>
      <c r="D632" s="8"/>
      <c r="E632" s="129"/>
      <c r="F632" s="375"/>
      <c r="G632" s="144"/>
      <c r="H632" s="144"/>
      <c r="I632" s="144"/>
      <c r="J632" s="144"/>
      <c r="K632" s="144"/>
      <c r="L632" s="144"/>
      <c r="M632" s="144"/>
      <c r="P632" s="144"/>
      <c r="T632" s="144"/>
      <c r="U632" s="144"/>
      <c r="V632" s="144"/>
      <c r="W632" s="144"/>
      <c r="X632" s="144"/>
      <c r="Y632" s="144"/>
    </row>
    <row r="633" spans="2:25" ht="16" x14ac:dyDescent="0.2">
      <c r="B633" s="726" t="s">
        <v>1340</v>
      </c>
      <c r="C633" s="95"/>
      <c r="D633" s="8"/>
      <c r="E633" s="129"/>
      <c r="F633" s="375"/>
      <c r="G633" s="144"/>
      <c r="H633" s="144"/>
      <c r="I633" s="144"/>
      <c r="J633" s="144"/>
      <c r="K633" s="144"/>
      <c r="L633" s="144"/>
      <c r="M633" s="144"/>
      <c r="P633" s="144"/>
      <c r="T633" s="144"/>
      <c r="U633" s="144"/>
      <c r="V633" s="144"/>
      <c r="W633" s="144"/>
      <c r="X633" s="144"/>
      <c r="Y633" s="144"/>
    </row>
    <row r="634" spans="2:25" x14ac:dyDescent="0.15">
      <c r="B634" s="8" t="s">
        <v>1341</v>
      </c>
      <c r="C634" s="95"/>
      <c r="D634" s="8"/>
      <c r="E634" s="129"/>
      <c r="F634" s="375"/>
      <c r="G634" s="1202">
        <f t="shared" ref="G634:M634" ca="1" si="153">G538*IF(_manufact_method=3,0,1)</f>
        <v>9323.83181809915</v>
      </c>
      <c r="H634" s="1202">
        <f t="shared" ca="1" si="153"/>
        <v>9323.83181809915</v>
      </c>
      <c r="I634" s="1202">
        <f t="shared" ca="1" si="153"/>
        <v>9323.83181809915</v>
      </c>
      <c r="J634" s="1202">
        <f t="shared" ca="1" si="153"/>
        <v>9323.83181809915</v>
      </c>
      <c r="K634" s="1202">
        <f t="shared" ca="1" si="153"/>
        <v>9323.83181809915</v>
      </c>
      <c r="L634" s="1202">
        <f t="shared" ca="1" si="153"/>
        <v>9323.83181809915</v>
      </c>
      <c r="M634" s="1202">
        <f t="shared" ca="1" si="153"/>
        <v>9323.83181809915</v>
      </c>
      <c r="N634" s="144">
        <f>N539</f>
        <v>0</v>
      </c>
      <c r="P634" s="144"/>
      <c r="T634" s="144"/>
      <c r="U634" s="144"/>
      <c r="V634" s="144"/>
      <c r="W634" s="144"/>
      <c r="X634" s="144"/>
      <c r="Y634" s="144"/>
    </row>
    <row r="635" spans="2:25" x14ac:dyDescent="0.15">
      <c r="B635" s="8" t="s">
        <v>1342</v>
      </c>
      <c r="C635" s="95"/>
      <c r="D635" s="8"/>
      <c r="E635" s="129"/>
      <c r="F635" s="375"/>
      <c r="G635" s="1202">
        <f ca="1">G580</f>
        <v>877.36962858678964</v>
      </c>
      <c r="H635" s="1202">
        <f t="shared" ref="H635:M635" ca="1" si="154">H580</f>
        <v>877.36962858678964</v>
      </c>
      <c r="I635" s="1202">
        <f t="shared" ca="1" si="154"/>
        <v>877.36962858678964</v>
      </c>
      <c r="J635" s="1202">
        <f t="shared" ca="1" si="154"/>
        <v>877.36962858678964</v>
      </c>
      <c r="K635" s="1202">
        <f t="shared" ca="1" si="154"/>
        <v>877.36962858678964</v>
      </c>
      <c r="L635" s="1202">
        <f t="shared" ca="1" si="154"/>
        <v>877.36962858678964</v>
      </c>
      <c r="M635" s="1202">
        <f t="shared" ca="1" si="154"/>
        <v>877.36962858678964</v>
      </c>
      <c r="N635" s="144"/>
      <c r="P635" s="144"/>
      <c r="T635" s="144"/>
      <c r="U635" s="144"/>
      <c r="V635" s="144"/>
      <c r="W635" s="144"/>
      <c r="X635" s="144"/>
      <c r="Y635" s="144"/>
    </row>
    <row r="636" spans="2:25" x14ac:dyDescent="0.15">
      <c r="B636" s="8" t="s">
        <v>1343</v>
      </c>
      <c r="C636" s="95"/>
      <c r="D636" s="8"/>
      <c r="E636" s="129"/>
      <c r="F636" s="375"/>
      <c r="G636" s="1202">
        <f ca="1">G620</f>
        <v>922.99254814575352</v>
      </c>
      <c r="H636" s="1202">
        <f t="shared" ref="H636:M636" ca="1" si="155">H620</f>
        <v>922.99254814575352</v>
      </c>
      <c r="I636" s="1202">
        <f t="shared" ca="1" si="155"/>
        <v>922.99254814575352</v>
      </c>
      <c r="J636" s="1202">
        <f t="shared" ca="1" si="155"/>
        <v>922.99254814575352</v>
      </c>
      <c r="K636" s="1202">
        <f t="shared" ca="1" si="155"/>
        <v>922.99254814575352</v>
      </c>
      <c r="L636" s="1202">
        <f t="shared" ca="1" si="155"/>
        <v>922.99254814575352</v>
      </c>
      <c r="M636" s="1202">
        <f t="shared" ca="1" si="155"/>
        <v>922.99254814575352</v>
      </c>
      <c r="P636" s="144"/>
      <c r="T636" s="144"/>
      <c r="U636" s="144"/>
      <c r="V636" s="144"/>
      <c r="W636" s="144"/>
      <c r="X636" s="144"/>
      <c r="Y636" s="144"/>
    </row>
    <row r="637" spans="2:25" x14ac:dyDescent="0.15">
      <c r="B637" s="8" t="s">
        <v>1331</v>
      </c>
      <c r="C637" s="95"/>
      <c r="D637" s="8"/>
      <c r="E637" s="129"/>
      <c r="F637" s="375"/>
      <c r="G637" s="1202">
        <f t="shared" ref="G637:M638" ca="1" si="156">G616+G574*G$34+G532*G$33</f>
        <v>549.98190186279203</v>
      </c>
      <c r="H637" s="1202">
        <f t="shared" ca="1" si="156"/>
        <v>549.98190186279203</v>
      </c>
      <c r="I637" s="1202">
        <f t="shared" ca="1" si="156"/>
        <v>549.98190186279203</v>
      </c>
      <c r="J637" s="1202">
        <f t="shared" ca="1" si="156"/>
        <v>549.98190186279203</v>
      </c>
      <c r="K637" s="1202">
        <f t="shared" ca="1" si="156"/>
        <v>549.98190186279203</v>
      </c>
      <c r="L637" s="1202">
        <f t="shared" ca="1" si="156"/>
        <v>549.98190186279203</v>
      </c>
      <c r="M637" s="1202">
        <f t="shared" ca="1" si="156"/>
        <v>549.98190186279203</v>
      </c>
      <c r="N637" s="854" t="e">
        <f>Lists!$C$162*'Cost Input'!$F$113/100*(N598+N556+IF(_manufact_method &lt; 3, N509*N29,0))*1000000/N$9</f>
        <v>#DIV/0!</v>
      </c>
      <c r="P637" s="854"/>
      <c r="T637" s="854"/>
      <c r="U637" s="144"/>
      <c r="V637" s="144"/>
      <c r="W637" s="144"/>
      <c r="X637" s="144"/>
      <c r="Y637" s="144"/>
    </row>
    <row r="638" spans="2:25" x14ac:dyDescent="0.15">
      <c r="B638" s="8" t="s">
        <v>1344</v>
      </c>
      <c r="C638" s="95"/>
      <c r="D638" s="8"/>
      <c r="E638" s="8"/>
      <c r="F638" s="375"/>
      <c r="G638" s="1202">
        <f t="shared" ca="1" si="156"/>
        <v>653.75385021489114</v>
      </c>
      <c r="H638" s="1202">
        <f t="shared" ca="1" si="156"/>
        <v>653.75385021489114</v>
      </c>
      <c r="I638" s="1202">
        <f t="shared" ca="1" si="156"/>
        <v>653.75385021489114</v>
      </c>
      <c r="J638" s="1202">
        <f t="shared" ca="1" si="156"/>
        <v>653.75385021489114</v>
      </c>
      <c r="K638" s="1202">
        <f t="shared" ca="1" si="156"/>
        <v>653.75385021489114</v>
      </c>
      <c r="L638" s="1202">
        <f t="shared" ca="1" si="156"/>
        <v>653.75385021489114</v>
      </c>
      <c r="M638" s="1202">
        <f t="shared" ca="1" si="156"/>
        <v>653.75385021489114</v>
      </c>
      <c r="N638" s="1038" t="e">
        <f>'Cost Input'!$F$114/100*(N634+N635+N636+N637)*Lists!$D$162</f>
        <v>#DIV/0!</v>
      </c>
      <c r="P638" s="1038"/>
      <c r="T638" s="1038"/>
      <c r="U638" s="144"/>
      <c r="V638" s="144"/>
      <c r="W638" s="144"/>
      <c r="X638" s="144"/>
      <c r="Y638" s="144"/>
    </row>
    <row r="639" spans="2:25" x14ac:dyDescent="0.15">
      <c r="B639" s="8" t="s">
        <v>1345</v>
      </c>
      <c r="C639" s="95"/>
      <c r="D639" s="8"/>
      <c r="E639" s="104"/>
      <c r="F639" s="846"/>
      <c r="G639" s="1202">
        <f ca="1">G634+G635+G636+G637+G638</f>
        <v>12327.929746909376</v>
      </c>
      <c r="H639" s="1202">
        <f t="shared" ref="H639:M639" ca="1" si="157">H634+H635+H636+H637+H638</f>
        <v>12327.929746909376</v>
      </c>
      <c r="I639" s="1202">
        <f t="shared" ca="1" si="157"/>
        <v>12327.929746909376</v>
      </c>
      <c r="J639" s="1202">
        <f t="shared" ca="1" si="157"/>
        <v>12327.929746909376</v>
      </c>
      <c r="K639" s="1202">
        <f t="shared" ca="1" si="157"/>
        <v>12327.929746909376</v>
      </c>
      <c r="L639" s="1202">
        <f t="shared" ca="1" si="157"/>
        <v>12327.929746909376</v>
      </c>
      <c r="M639" s="1202">
        <f t="shared" ca="1" si="157"/>
        <v>12327.929746909376</v>
      </c>
      <c r="P639" s="854"/>
      <c r="T639" s="854"/>
      <c r="U639" s="854"/>
      <c r="V639" s="854"/>
      <c r="W639" s="854"/>
      <c r="X639" s="854"/>
      <c r="Y639" s="854"/>
    </row>
    <row r="640" spans="2:25" ht="14" thickBot="1" x14ac:dyDescent="0.2">
      <c r="B640" s="8"/>
      <c r="C640" s="95"/>
      <c r="D640" s="8"/>
      <c r="E640" s="104"/>
      <c r="F640" s="846"/>
      <c r="G640" s="1078"/>
      <c r="H640" s="1078"/>
      <c r="I640" s="1078"/>
      <c r="J640" s="1078"/>
      <c r="K640" s="1078"/>
      <c r="L640" s="95"/>
      <c r="M640" s="95"/>
    </row>
    <row r="641" spans="2:14" ht="21" thickBot="1" x14ac:dyDescent="0.25">
      <c r="B641" s="1262" t="s">
        <v>1346</v>
      </c>
      <c r="C641" s="1263"/>
      <c r="D641" s="1263"/>
      <c r="E641" s="1263"/>
      <c r="F641" s="1263"/>
      <c r="G641" s="1263"/>
      <c r="H641" s="1263"/>
      <c r="I641" s="1263"/>
      <c r="J641" s="1263"/>
      <c r="K641" s="1263"/>
      <c r="L641" s="1263"/>
      <c r="M641" s="1264"/>
    </row>
    <row r="642" spans="2:14" x14ac:dyDescent="0.15">
      <c r="H642" s="95"/>
    </row>
    <row r="643" spans="2:14" x14ac:dyDescent="0.15">
      <c r="B643" s="8" t="s">
        <v>1347</v>
      </c>
      <c r="G643" s="853">
        <f t="shared" ref="G643:M643" ca="1" si="158">G639*G35</f>
        <v>12327.929746909376</v>
      </c>
      <c r="H643" s="853">
        <f t="shared" ca="1" si="158"/>
        <v>12327.929746909376</v>
      </c>
      <c r="I643" s="853">
        <f t="shared" ca="1" si="158"/>
        <v>12327.929746909376</v>
      </c>
      <c r="J643" s="853">
        <f t="shared" ca="1" si="158"/>
        <v>12327.929746909376</v>
      </c>
      <c r="K643" s="853">
        <f t="shared" ca="1" si="158"/>
        <v>12327.929746909376</v>
      </c>
      <c r="L643" s="853">
        <f t="shared" ca="1" si="158"/>
        <v>12327.929746909376</v>
      </c>
      <c r="M643" s="853">
        <f t="shared" ca="1" si="158"/>
        <v>12327.929746909376</v>
      </c>
    </row>
    <row r="644" spans="2:14" x14ac:dyDescent="0.15">
      <c r="B644" s="8" t="s">
        <v>1348</v>
      </c>
      <c r="G644" s="1041">
        <f t="shared" ref="G644:M644" ca="1" si="159">G184</f>
        <v>40</v>
      </c>
      <c r="H644" s="1041">
        <f t="shared" ca="1" si="159"/>
        <v>40</v>
      </c>
      <c r="I644" s="1041">
        <f t="shared" ca="1" si="159"/>
        <v>40</v>
      </c>
      <c r="J644" s="1041">
        <f t="shared" ca="1" si="159"/>
        <v>40</v>
      </c>
      <c r="K644" s="1041">
        <f t="shared" ca="1" si="159"/>
        <v>40</v>
      </c>
      <c r="L644" s="1041">
        <f t="shared" ca="1" si="159"/>
        <v>40</v>
      </c>
      <c r="M644" s="1041">
        <f t="shared" ca="1" si="159"/>
        <v>40</v>
      </c>
      <c r="N644" s="20" t="e">
        <f>N184*#REF!</f>
        <v>#REF!</v>
      </c>
    </row>
    <row r="645" spans="2:14" x14ac:dyDescent="0.15">
      <c r="B645" s="8" t="s">
        <v>1349</v>
      </c>
      <c r="G645" s="853">
        <f t="shared" ref="G645:M645" ca="1" si="160">SUM(G643:G644)</f>
        <v>12367.929746909376</v>
      </c>
      <c r="H645" s="853">
        <f t="shared" ca="1" si="160"/>
        <v>12367.929746909376</v>
      </c>
      <c r="I645" s="853">
        <f t="shared" ca="1" si="160"/>
        <v>12367.929746909376</v>
      </c>
      <c r="J645" s="853">
        <f t="shared" ca="1" si="160"/>
        <v>12367.929746909376</v>
      </c>
      <c r="K645" s="853">
        <f t="shared" ca="1" si="160"/>
        <v>12367.929746909376</v>
      </c>
      <c r="L645" s="853">
        <f t="shared" ca="1" si="160"/>
        <v>12367.929746909376</v>
      </c>
      <c r="M645" s="853">
        <f t="shared" ca="1" si="160"/>
        <v>12367.929746909376</v>
      </c>
    </row>
    <row r="646" spans="2:14" x14ac:dyDescent="0.15">
      <c r="B646" s="9" t="s">
        <v>1350</v>
      </c>
      <c r="C646" s="8"/>
      <c r="D646" s="8"/>
      <c r="E646" s="8"/>
      <c r="F646" s="8"/>
      <c r="G646" s="365">
        <v>10</v>
      </c>
      <c r="H646" s="365">
        <v>10</v>
      </c>
      <c r="I646" s="365">
        <v>10</v>
      </c>
      <c r="J646" s="365">
        <v>10</v>
      </c>
      <c r="K646" s="365">
        <v>10</v>
      </c>
      <c r="L646" s="365">
        <v>10</v>
      </c>
      <c r="M646" s="365">
        <v>10</v>
      </c>
    </row>
    <row r="647" spans="2:14" x14ac:dyDescent="0.15">
      <c r="B647" s="9" t="s">
        <v>1351</v>
      </c>
      <c r="C647" s="8"/>
      <c r="D647" s="8"/>
      <c r="E647" s="8"/>
      <c r="F647" s="8"/>
      <c r="G647" s="365">
        <v>5</v>
      </c>
      <c r="H647" s="365">
        <v>5</v>
      </c>
      <c r="I647" s="365">
        <v>5</v>
      </c>
      <c r="J647" s="365">
        <v>5</v>
      </c>
      <c r="K647" s="365">
        <v>5</v>
      </c>
      <c r="L647" s="365">
        <v>5</v>
      </c>
      <c r="M647" s="365">
        <v>5</v>
      </c>
    </row>
    <row r="648" spans="2:14" x14ac:dyDescent="0.15">
      <c r="B648" s="8" t="s">
        <v>1352</v>
      </c>
      <c r="C648" s="8"/>
      <c r="D648" s="8"/>
      <c r="E648" s="8"/>
      <c r="F648" s="8"/>
      <c r="G648" s="1046">
        <f t="shared" ref="G648:M648" ca="1" si="161">G645*(100+G646+G647)/100</f>
        <v>14223.119208945784</v>
      </c>
      <c r="H648" s="1046">
        <f t="shared" ca="1" si="161"/>
        <v>14223.119208945784</v>
      </c>
      <c r="I648" s="1046">
        <f t="shared" ca="1" si="161"/>
        <v>14223.119208945784</v>
      </c>
      <c r="J648" s="1046">
        <f t="shared" ca="1" si="161"/>
        <v>14223.119208945784</v>
      </c>
      <c r="K648" s="1046">
        <f t="shared" ca="1" si="161"/>
        <v>14223.119208945784</v>
      </c>
      <c r="L648" s="1046">
        <f t="shared" ca="1" si="161"/>
        <v>14223.119208945784</v>
      </c>
      <c r="M648" s="1046">
        <f t="shared" ca="1" si="161"/>
        <v>14223.119208945784</v>
      </c>
    </row>
    <row r="649" spans="2:14" x14ac:dyDescent="0.15">
      <c r="B649" s="8" t="s">
        <v>1353</v>
      </c>
      <c r="C649" s="8"/>
      <c r="D649" s="8"/>
      <c r="E649" s="8"/>
      <c r="F649" s="8"/>
      <c r="G649" s="1046">
        <f t="shared" ref="G649:M649" ca="1" si="162">G645*(100-G646-G647)/100</f>
        <v>10512.740284872971</v>
      </c>
      <c r="H649" s="1046">
        <f t="shared" ca="1" si="162"/>
        <v>10512.740284872971</v>
      </c>
      <c r="I649" s="1046">
        <f t="shared" ca="1" si="162"/>
        <v>10512.740284872971</v>
      </c>
      <c r="J649" s="1046">
        <f t="shared" ca="1" si="162"/>
        <v>10512.740284872971</v>
      </c>
      <c r="K649" s="1046">
        <f t="shared" ca="1" si="162"/>
        <v>10512.740284872971</v>
      </c>
      <c r="L649" s="1046">
        <f t="shared" ca="1" si="162"/>
        <v>10512.740284872971</v>
      </c>
      <c r="M649" s="1046">
        <f t="shared" ca="1" si="162"/>
        <v>10512.740284872971</v>
      </c>
    </row>
    <row r="654" spans="2:14" x14ac:dyDescent="0.15">
      <c r="B654" s="8"/>
    </row>
    <row r="655" spans="2:14" x14ac:dyDescent="0.15">
      <c r="B655" s="8"/>
    </row>
    <row r="656" spans="2:14" x14ac:dyDescent="0.15">
      <c r="B656" s="8"/>
    </row>
    <row r="657" spans="2:2" x14ac:dyDescent="0.15">
      <c r="B657" s="8"/>
    </row>
    <row r="658" spans="2:2" x14ac:dyDescent="0.15">
      <c r="B658" s="8"/>
    </row>
    <row r="659" spans="2:2" x14ac:dyDescent="0.15">
      <c r="B659" s="8"/>
    </row>
    <row r="660" spans="2:2" x14ac:dyDescent="0.15">
      <c r="B660" s="8"/>
    </row>
    <row r="661" spans="2:2" x14ac:dyDescent="0.15">
      <c r="B661" s="8"/>
    </row>
    <row r="662" spans="2:2" x14ac:dyDescent="0.15">
      <c r="B662" s="8"/>
    </row>
    <row r="663" spans="2:2" x14ac:dyDescent="0.15">
      <c r="B663" s="8"/>
    </row>
    <row r="664" spans="2:2" x14ac:dyDescent="0.15">
      <c r="B664" s="8"/>
    </row>
    <row r="665" spans="2:2" x14ac:dyDescent="0.15">
      <c r="B665" s="8"/>
    </row>
    <row r="666" spans="2:2" x14ac:dyDescent="0.15">
      <c r="B666" s="8"/>
    </row>
    <row r="667" spans="2:2" x14ac:dyDescent="0.15">
      <c r="B667" s="8"/>
    </row>
    <row r="668" spans="2:2" x14ac:dyDescent="0.15">
      <c r="B668" s="8"/>
    </row>
    <row r="695" spans="2:13" ht="16" x14ac:dyDescent="0.2">
      <c r="B695" s="5"/>
    </row>
    <row r="697" spans="2:13" x14ac:dyDescent="0.15">
      <c r="B697" s="8"/>
      <c r="G697" s="815"/>
      <c r="H697" s="815"/>
      <c r="I697" s="815"/>
      <c r="J697" s="815"/>
      <c r="K697" s="815"/>
      <c r="L697" s="815"/>
      <c r="M697" s="815"/>
    </row>
    <row r="698" spans="2:13" x14ac:dyDescent="0.15">
      <c r="G698" s="427"/>
      <c r="H698" s="427"/>
      <c r="I698" s="427"/>
      <c r="J698" s="427"/>
      <c r="K698" s="427"/>
      <c r="L698" s="427"/>
      <c r="M698" s="427"/>
    </row>
    <row r="699" spans="2:13" x14ac:dyDescent="0.15">
      <c r="B699" s="8"/>
      <c r="G699" s="427"/>
      <c r="H699" s="427"/>
      <c r="I699" s="427"/>
      <c r="J699" s="427"/>
      <c r="K699" s="427"/>
      <c r="L699" s="427"/>
      <c r="M699" s="427"/>
    </row>
    <row r="700" spans="2:13" x14ac:dyDescent="0.15">
      <c r="B700" s="8"/>
    </row>
    <row r="701" spans="2:13" x14ac:dyDescent="0.15">
      <c r="C701" s="8"/>
    </row>
    <row r="704" spans="2:13" x14ac:dyDescent="0.15">
      <c r="B704" s="8"/>
    </row>
    <row r="706" spans="2:15" x14ac:dyDescent="0.15">
      <c r="G706" s="427"/>
      <c r="H706" s="427"/>
      <c r="I706" s="427"/>
      <c r="J706" s="427"/>
      <c r="K706" s="427"/>
      <c r="L706" s="427"/>
      <c r="M706" s="427"/>
      <c r="O706" s="562"/>
    </row>
    <row r="707" spans="2:15" x14ac:dyDescent="0.15">
      <c r="G707" s="427"/>
      <c r="H707" s="427"/>
      <c r="I707" s="427"/>
      <c r="J707" s="427"/>
      <c r="K707" s="427"/>
      <c r="L707" s="427"/>
      <c r="M707" s="427"/>
    </row>
    <row r="708" spans="2:15" x14ac:dyDescent="0.15">
      <c r="G708" s="427"/>
      <c r="H708" s="427"/>
      <c r="I708" s="427"/>
      <c r="J708" s="427"/>
      <c r="K708" s="427"/>
      <c r="L708" s="427"/>
      <c r="M708" s="427"/>
    </row>
    <row r="709" spans="2:15" x14ac:dyDescent="0.15">
      <c r="G709" s="427"/>
      <c r="H709" s="427"/>
      <c r="I709" s="427"/>
      <c r="J709" s="427"/>
      <c r="K709" s="427"/>
      <c r="L709" s="427"/>
      <c r="M709" s="427"/>
    </row>
    <row r="717" spans="2:15" x14ac:dyDescent="0.15">
      <c r="B717" s="8"/>
      <c r="C717" s="8"/>
      <c r="D717" s="8"/>
      <c r="E717" s="8"/>
      <c r="F717" s="8"/>
      <c r="G717" s="245"/>
      <c r="H717" s="245"/>
      <c r="I717" s="245"/>
      <c r="J717" s="245"/>
      <c r="K717" s="245"/>
      <c r="L717" s="245"/>
      <c r="M717" s="245"/>
    </row>
    <row r="718" spans="2:15" x14ac:dyDescent="0.15">
      <c r="B718" s="8"/>
      <c r="C718" s="8"/>
      <c r="D718" s="8"/>
      <c r="E718" s="8"/>
      <c r="F718" s="8"/>
      <c r="G718" s="245"/>
      <c r="H718" s="245"/>
      <c r="I718" s="245"/>
      <c r="J718" s="245"/>
      <c r="K718" s="245"/>
      <c r="L718" s="245"/>
      <c r="M718" s="245"/>
    </row>
    <row r="719" spans="2:15" x14ac:dyDescent="0.15">
      <c r="B719" s="8"/>
      <c r="C719" s="8"/>
      <c r="D719" s="8"/>
      <c r="E719" s="8"/>
      <c r="F719" s="8"/>
      <c r="G719" s="245"/>
      <c r="H719" s="245"/>
      <c r="I719" s="245"/>
      <c r="J719" s="245"/>
      <c r="K719" s="245"/>
      <c r="L719" s="245"/>
      <c r="M719" s="245"/>
    </row>
    <row r="720" spans="2:15" x14ac:dyDescent="0.15">
      <c r="B720" s="8"/>
      <c r="C720" s="8"/>
      <c r="D720" s="8"/>
      <c r="E720" s="8"/>
      <c r="F720" s="8"/>
      <c r="G720" s="245"/>
      <c r="H720" s="245"/>
      <c r="I720" s="245"/>
      <c r="J720" s="245"/>
      <c r="K720" s="245"/>
      <c r="L720" s="245"/>
      <c r="M720" s="245"/>
    </row>
    <row r="721" spans="2:13" x14ac:dyDescent="0.15">
      <c r="B721" s="8"/>
      <c r="C721" s="8"/>
      <c r="D721" s="8"/>
      <c r="E721" s="8"/>
      <c r="F721" s="8"/>
      <c r="G721" s="245"/>
      <c r="H721" s="245"/>
      <c r="I721" s="245"/>
      <c r="J721" s="245"/>
      <c r="K721" s="245"/>
      <c r="L721" s="245"/>
      <c r="M721" s="245"/>
    </row>
    <row r="722" spans="2:13" x14ac:dyDescent="0.15">
      <c r="B722" s="8"/>
      <c r="C722" s="8"/>
      <c r="D722" s="8"/>
      <c r="E722" s="8"/>
      <c r="F722" s="8"/>
      <c r="G722" s="245"/>
      <c r="H722" s="245"/>
      <c r="I722" s="245"/>
      <c r="J722" s="245"/>
      <c r="K722" s="245"/>
      <c r="L722" s="245"/>
      <c r="M722" s="245"/>
    </row>
    <row r="723" spans="2:13" x14ac:dyDescent="0.15">
      <c r="B723" s="9"/>
      <c r="C723" s="9"/>
      <c r="D723" s="9"/>
      <c r="E723" s="9"/>
      <c r="F723" s="9"/>
      <c r="G723" s="112"/>
      <c r="H723" s="112"/>
      <c r="I723" s="112"/>
      <c r="J723" s="112"/>
      <c r="K723" s="112"/>
      <c r="L723" s="112"/>
      <c r="M723" s="112"/>
    </row>
  </sheetData>
  <mergeCells count="22">
    <mergeCell ref="O1:P1"/>
    <mergeCell ref="B37:M37"/>
    <mergeCell ref="B186:M186"/>
    <mergeCell ref="B190:C190"/>
    <mergeCell ref="B188:M188"/>
    <mergeCell ref="B1:M1"/>
    <mergeCell ref="B2:M2"/>
    <mergeCell ref="B3:M3"/>
    <mergeCell ref="B4:E4"/>
    <mergeCell ref="G4:M4"/>
    <mergeCell ref="B5:E5"/>
    <mergeCell ref="G5:M5"/>
    <mergeCell ref="B641:M641"/>
    <mergeCell ref="B405:M405"/>
    <mergeCell ref="B623:M623"/>
    <mergeCell ref="B583:M583"/>
    <mergeCell ref="B494:M494"/>
    <mergeCell ref="B472:M472"/>
    <mergeCell ref="B480:M480"/>
    <mergeCell ref="B482:M482"/>
    <mergeCell ref="B488:D488"/>
    <mergeCell ref="B541:M541"/>
  </mergeCells>
  <phoneticPr fontId="6" type="noConversion"/>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69" min="1" max="12" man="1"/>
    <brk id="100" min="1" max="12" man="1"/>
    <brk id="184" min="1" max="12" man="1"/>
    <brk id="365" min="1" max="12" man="1"/>
    <brk id="379" min="1" max="12" man="1"/>
    <brk id="324" min="1" max="12" man="1"/>
    <brk id="382" min="1" max="12"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418"/>
  <sheetViews>
    <sheetView workbookViewId="0">
      <pane ySplit="6" topLeftCell="A7" activePane="bottomLeft" state="frozen"/>
      <selection pane="bottomLeft" activeCell="B8" sqref="B8"/>
    </sheetView>
  </sheetViews>
  <sheetFormatPr baseColWidth="10" defaultColWidth="8.5" defaultRowHeight="13" outlineLevelRow="1" x14ac:dyDescent="0.15"/>
  <cols>
    <col min="1" max="1" width="4.5" customWidth="1"/>
    <col min="2" max="2" width="29.5" customWidth="1"/>
    <col min="3" max="3" width="10.5" customWidth="1"/>
    <col min="4" max="4" width="10" customWidth="1"/>
    <col min="5" max="5" width="36" customWidth="1"/>
    <col min="6" max="6" width="13.5" customWidth="1"/>
    <col min="7" max="7" width="17.5" customWidth="1"/>
    <col min="8" max="8" width="12.5" customWidth="1"/>
    <col min="9" max="10" width="12.5" bestFit="1" customWidth="1"/>
    <col min="11" max="11" width="15.5" customWidth="1"/>
    <col min="12" max="13" width="12.5" bestFit="1" customWidth="1"/>
    <col min="14" max="14" width="17.5" bestFit="1" customWidth="1"/>
    <col min="15" max="15" width="18.5" bestFit="1" customWidth="1"/>
    <col min="16" max="16" width="24.5" bestFit="1" customWidth="1"/>
    <col min="17" max="17" width="14.5" customWidth="1"/>
    <col min="18" max="18" width="11.5" customWidth="1"/>
    <col min="19" max="19" width="14" customWidth="1"/>
    <col min="20" max="20" width="14.5" customWidth="1"/>
    <col min="21" max="21" width="13.5" customWidth="1"/>
    <col min="22" max="22" width="9.5" bestFit="1" customWidth="1"/>
  </cols>
  <sheetData>
    <row r="1" spans="2:16" ht="19" thickBot="1" x14ac:dyDescent="0.25">
      <c r="B1" s="1331" t="s">
        <v>16</v>
      </c>
      <c r="C1" s="1332"/>
      <c r="D1" s="1332"/>
      <c r="E1" s="1332"/>
      <c r="F1" s="1332"/>
      <c r="G1" s="1332"/>
      <c r="H1" s="1332"/>
      <c r="I1" s="1332"/>
      <c r="J1" s="1332"/>
      <c r="K1" s="1332"/>
      <c r="L1" s="1332"/>
      <c r="M1" s="1341"/>
      <c r="N1" s="1260" t="s">
        <v>9</v>
      </c>
      <c r="O1" s="1261"/>
    </row>
    <row r="2" spans="2:16" ht="17" thickBot="1" x14ac:dyDescent="0.25">
      <c r="B2" s="1270" t="str">
        <f>Dashboard!B2</f>
        <v>EV with NMC532-G (Power) Electrodes</v>
      </c>
      <c r="C2" s="1271"/>
      <c r="D2" s="1271"/>
      <c r="E2" s="1271"/>
      <c r="F2" s="1271"/>
      <c r="G2" s="1271"/>
      <c r="H2" s="1271"/>
      <c r="I2" s="1271"/>
      <c r="J2" s="1271"/>
      <c r="K2" s="1271"/>
      <c r="L2" s="1271"/>
      <c r="M2" s="1272"/>
      <c r="N2" s="987" t="s">
        <v>8</v>
      </c>
      <c r="O2" s="988" t="s">
        <v>10</v>
      </c>
    </row>
    <row r="3" spans="2:16" ht="16" x14ac:dyDescent="0.2">
      <c r="B3" s="1291" t="s">
        <v>132</v>
      </c>
      <c r="C3" s="1318"/>
      <c r="D3" s="1318"/>
      <c r="E3" s="1318"/>
      <c r="F3" s="1318"/>
      <c r="G3" s="1318"/>
      <c r="H3" s="1318"/>
      <c r="I3" s="1318"/>
      <c r="J3" s="1318"/>
      <c r="K3" s="1318"/>
      <c r="L3" s="1318"/>
      <c r="M3" s="1319"/>
      <c r="N3" s="989" t="s">
        <v>15</v>
      </c>
      <c r="O3" s="988" t="s">
        <v>16</v>
      </c>
    </row>
    <row r="4" spans="2:16" s="73" customFormat="1" ht="14" x14ac:dyDescent="0.15">
      <c r="B4" s="1293" t="s">
        <v>298</v>
      </c>
      <c r="C4" s="1320"/>
      <c r="D4" s="1320"/>
      <c r="E4" s="1321"/>
      <c r="F4" s="180"/>
      <c r="G4" s="1294" t="s">
        <v>12</v>
      </c>
      <c r="H4" s="1325"/>
      <c r="I4" s="1325"/>
      <c r="J4" s="1325"/>
      <c r="K4" s="1325"/>
      <c r="L4" s="1325"/>
      <c r="M4" s="1326"/>
      <c r="N4" s="986" t="s">
        <v>17</v>
      </c>
      <c r="O4" s="988" t="s">
        <v>18</v>
      </c>
      <c r="P4"/>
    </row>
    <row r="5" spans="2:16" s="73" customFormat="1" ht="15" thickBot="1" x14ac:dyDescent="0.2">
      <c r="B5" s="1296" t="s">
        <v>13</v>
      </c>
      <c r="C5" s="1329"/>
      <c r="D5" s="1329"/>
      <c r="E5" s="1330"/>
      <c r="F5" s="185"/>
      <c r="G5" s="1297" t="s">
        <v>14</v>
      </c>
      <c r="H5" s="1327"/>
      <c r="I5" s="1327"/>
      <c r="J5" s="1327"/>
      <c r="K5" s="1327"/>
      <c r="L5" s="1327"/>
      <c r="M5" s="1328"/>
      <c r="N5" s="986" t="s">
        <v>20</v>
      </c>
      <c r="O5" s="992" t="s">
        <v>21</v>
      </c>
      <c r="P5"/>
    </row>
    <row r="6" spans="2:16" s="73" customFormat="1" ht="15" thickBot="1" x14ac:dyDescent="0.2">
      <c r="B6" s="26"/>
      <c r="C6" s="8"/>
      <c r="D6" s="8"/>
      <c r="E6" s="8"/>
      <c r="F6" s="8"/>
      <c r="G6"/>
      <c r="H6"/>
      <c r="I6"/>
      <c r="J6"/>
      <c r="K6"/>
      <c r="L6"/>
      <c r="N6" s="990" t="s">
        <v>25</v>
      </c>
      <c r="O6" s="991" t="s">
        <v>26</v>
      </c>
    </row>
    <row r="7" spans="2:16" ht="21" thickBot="1" x14ac:dyDescent="0.25">
      <c r="B7" s="1262" t="s">
        <v>1354</v>
      </c>
      <c r="C7" s="1263"/>
      <c r="D7" s="1263"/>
      <c r="E7" s="1263"/>
      <c r="F7" s="1263"/>
      <c r="G7" s="1263"/>
      <c r="H7" s="1263"/>
      <c r="I7" s="1263"/>
      <c r="J7" s="1263"/>
      <c r="K7" s="1263"/>
      <c r="L7" s="1263"/>
      <c r="M7" s="1264"/>
    </row>
    <row r="8" spans="2:16" ht="18" x14ac:dyDescent="0.2">
      <c r="B8" s="554"/>
      <c r="C8" s="554"/>
      <c r="D8" s="554"/>
      <c r="E8" s="554"/>
      <c r="F8" s="554"/>
      <c r="G8" s="554"/>
      <c r="H8" s="554"/>
      <c r="I8" s="554"/>
      <c r="J8" s="554"/>
      <c r="K8" s="554"/>
      <c r="L8" s="554"/>
    </row>
    <row r="9" spans="2:16" outlineLevel="1" x14ac:dyDescent="0.15">
      <c r="B9" s="8" t="s">
        <v>1355</v>
      </c>
      <c r="C9" s="468">
        <f>Dashboard!D115</f>
        <v>95</v>
      </c>
      <c r="D9" s="225" t="s">
        <v>1356</v>
      </c>
      <c r="H9" s="1214"/>
      <c r="I9" s="1214"/>
    </row>
    <row r="10" spans="2:16" outlineLevel="1" x14ac:dyDescent="0.15">
      <c r="B10" s="8"/>
      <c r="C10" s="2"/>
      <c r="D10" s="225"/>
      <c r="G10" s="1214" t="s">
        <v>1357</v>
      </c>
      <c r="H10" s="1214"/>
      <c r="I10" s="1214"/>
      <c r="J10" s="1214" t="s">
        <v>1358</v>
      </c>
      <c r="K10" s="1214" t="s">
        <v>266</v>
      </c>
      <c r="L10" s="1214" t="s">
        <v>821</v>
      </c>
    </row>
    <row r="11" spans="2:16" ht="17" outlineLevel="1" thickBot="1" x14ac:dyDescent="0.25">
      <c r="B11" s="5" t="s">
        <v>1359</v>
      </c>
      <c r="G11" s="1214" t="s">
        <v>1360</v>
      </c>
      <c r="H11" s="1214" t="s">
        <v>1361</v>
      </c>
      <c r="I11" s="1214" t="s">
        <v>1362</v>
      </c>
      <c r="J11" s="1214" t="s">
        <v>1363</v>
      </c>
      <c r="K11" s="1214" t="s">
        <v>1364</v>
      </c>
      <c r="L11" s="1214" t="s">
        <v>1365</v>
      </c>
    </row>
    <row r="12" spans="2:16" outlineLevel="1" x14ac:dyDescent="0.15">
      <c r="B12" s="8" t="s">
        <v>2434</v>
      </c>
      <c r="C12" s="8"/>
      <c r="D12" s="8"/>
      <c r="E12" s="8"/>
      <c r="G12" s="1014">
        <f>ROUND(H12*I12*J12*K12/1000000,1)</f>
        <v>94.1</v>
      </c>
      <c r="H12" s="469">
        <v>99</v>
      </c>
      <c r="I12" s="746">
        <v>97</v>
      </c>
      <c r="J12" s="746">
        <v>99</v>
      </c>
      <c r="K12" s="746">
        <v>99</v>
      </c>
      <c r="L12" s="1218"/>
    </row>
    <row r="13" spans="2:16" outlineLevel="1" x14ac:dyDescent="0.15">
      <c r="B13" s="8" t="s">
        <v>2435</v>
      </c>
      <c r="C13" s="8"/>
      <c r="D13" s="8"/>
      <c r="E13" s="8"/>
      <c r="G13" s="1015">
        <f>ROUND(H13*I13*J13*K13/1000000,1)</f>
        <v>94.1</v>
      </c>
      <c r="H13" s="469">
        <v>99</v>
      </c>
      <c r="I13" s="746">
        <v>97</v>
      </c>
      <c r="J13" s="746">
        <v>99</v>
      </c>
      <c r="K13" s="746">
        <v>99</v>
      </c>
      <c r="L13" s="1218"/>
    </row>
    <row r="14" spans="2:16" outlineLevel="1" x14ac:dyDescent="0.15">
      <c r="B14" s="8" t="s">
        <v>2436</v>
      </c>
      <c r="C14" s="8"/>
      <c r="D14" s="8"/>
      <c r="E14" s="8"/>
      <c r="G14" s="1015">
        <f>ROUND(I14*J14*K14/10000,1)</f>
        <v>88.3</v>
      </c>
      <c r="H14" s="470"/>
      <c r="I14" s="1085">
        <v>97</v>
      </c>
      <c r="J14" s="746">
        <v>92</v>
      </c>
      <c r="K14" s="746">
        <v>99</v>
      </c>
      <c r="L14" s="1218"/>
    </row>
    <row r="15" spans="2:16" outlineLevel="1" x14ac:dyDescent="0.15">
      <c r="B15" s="8" t="s">
        <v>2437</v>
      </c>
      <c r="C15" s="8"/>
      <c r="D15" s="8"/>
      <c r="E15" s="8"/>
      <c r="G15" s="1015">
        <f>ROUND(I15*J15*K15/10000,1)</f>
        <v>88.3</v>
      </c>
      <c r="H15" s="470"/>
      <c r="I15" s="1086">
        <v>97</v>
      </c>
      <c r="J15" s="746">
        <v>92</v>
      </c>
      <c r="K15" s="746">
        <v>99</v>
      </c>
      <c r="L15" s="1218"/>
    </row>
    <row r="16" spans="2:16" outlineLevel="1" x14ac:dyDescent="0.15">
      <c r="B16" s="8" t="s">
        <v>2438</v>
      </c>
      <c r="C16" s="8"/>
      <c r="D16" s="8"/>
      <c r="E16" s="8"/>
      <c r="G16" s="1015">
        <f>K16</f>
        <v>99</v>
      </c>
      <c r="H16" s="470"/>
      <c r="I16" s="192"/>
      <c r="J16" s="192"/>
      <c r="K16" s="746">
        <v>99</v>
      </c>
      <c r="L16" s="1218"/>
    </row>
    <row r="17" spans="2:19" outlineLevel="1" x14ac:dyDescent="0.15">
      <c r="B17" s="8" t="s">
        <v>1366</v>
      </c>
      <c r="C17" s="8"/>
      <c r="D17" s="8"/>
      <c r="E17" s="8"/>
      <c r="G17" s="1015">
        <f>L17</f>
        <v>99</v>
      </c>
      <c r="H17" s="471"/>
      <c r="I17" s="192"/>
      <c r="J17" s="192"/>
      <c r="K17" s="192"/>
      <c r="L17" s="746">
        <v>99</v>
      </c>
    </row>
    <row r="18" spans="2:19" ht="14" outlineLevel="1" thickBot="1" x14ac:dyDescent="0.2">
      <c r="B18" s="8" t="s">
        <v>1367</v>
      </c>
      <c r="C18" s="97"/>
      <c r="D18" s="97"/>
      <c r="E18" s="97"/>
      <c r="F18" s="97"/>
      <c r="G18" s="747">
        <v>99.5</v>
      </c>
      <c r="H18" s="472"/>
      <c r="I18" s="181"/>
      <c r="J18" s="181"/>
      <c r="K18" s="181"/>
      <c r="L18" s="180"/>
    </row>
    <row r="19" spans="2:19" outlineLevel="1" x14ac:dyDescent="0.15">
      <c r="B19" s="8"/>
      <c r="C19" s="97"/>
      <c r="D19" s="97"/>
      <c r="E19" s="97"/>
      <c r="F19" s="97"/>
      <c r="H19" s="474"/>
      <c r="I19" s="8"/>
      <c r="J19" s="8"/>
      <c r="K19" s="8"/>
    </row>
    <row r="20" spans="2:19" ht="14" outlineLevel="1" thickBot="1" x14ac:dyDescent="0.2">
      <c r="B20" s="8"/>
      <c r="C20" s="97"/>
      <c r="D20" s="97"/>
      <c r="E20" s="97"/>
      <c r="F20" s="97"/>
      <c r="H20" s="474"/>
      <c r="I20" s="8"/>
      <c r="J20" s="8"/>
      <c r="K20" s="8"/>
    </row>
    <row r="21" spans="2:19" ht="21" thickBot="1" x14ac:dyDescent="0.25">
      <c r="B21" s="1262" t="s">
        <v>1368</v>
      </c>
      <c r="C21" s="1263"/>
      <c r="D21" s="1263"/>
      <c r="E21" s="1263"/>
      <c r="F21" s="1263"/>
      <c r="G21" s="1263"/>
      <c r="H21" s="1263"/>
      <c r="I21" s="1263"/>
      <c r="J21" s="1263"/>
      <c r="K21" s="1263"/>
      <c r="L21" s="1263"/>
      <c r="M21" s="1264"/>
    </row>
    <row r="22" spans="2:19" ht="20" x14ac:dyDescent="0.2">
      <c r="B22" s="555"/>
      <c r="C22" s="555"/>
      <c r="D22" s="555"/>
      <c r="E22" s="555"/>
      <c r="F22" s="555"/>
      <c r="G22" s="555"/>
      <c r="H22" s="555"/>
      <c r="I22" s="555"/>
      <c r="J22" s="555"/>
      <c r="K22" s="555"/>
      <c r="L22" s="555"/>
    </row>
    <row r="23" spans="2:19" ht="16" outlineLevel="1" x14ac:dyDescent="0.2">
      <c r="B23" s="5" t="s">
        <v>89</v>
      </c>
      <c r="C23" s="8"/>
      <c r="D23" s="8"/>
      <c r="E23" s="8"/>
      <c r="F23" s="1214" t="s">
        <v>1369</v>
      </c>
      <c r="G23" s="1214" t="s">
        <v>1370</v>
      </c>
    </row>
    <row r="24" spans="2:19" outlineLevel="1" x14ac:dyDescent="0.15">
      <c r="B24" s="8" t="s">
        <v>90</v>
      </c>
      <c r="C24" s="8"/>
      <c r="D24" s="8"/>
      <c r="E24" s="8"/>
      <c r="F24" s="466">
        <f>Chem!C149</f>
        <v>31</v>
      </c>
      <c r="G24" s="72">
        <v>1</v>
      </c>
    </row>
    <row r="25" spans="2:19" outlineLevel="1" x14ac:dyDescent="0.15">
      <c r="B25" s="8" t="s">
        <v>1371</v>
      </c>
      <c r="C25" s="8"/>
      <c r="D25" s="8"/>
      <c r="E25" s="8"/>
      <c r="F25" s="466">
        <f>Chem!C150</f>
        <v>7</v>
      </c>
      <c r="G25" s="72">
        <v>1</v>
      </c>
      <c r="M25" s="159"/>
      <c r="Q25" s="107"/>
      <c r="S25" s="20"/>
    </row>
    <row r="26" spans="2:19" outlineLevel="1" x14ac:dyDescent="0.15">
      <c r="B26" s="8" t="s">
        <v>92</v>
      </c>
      <c r="C26" s="8"/>
      <c r="D26" s="8"/>
      <c r="E26" s="8"/>
      <c r="F26" s="466">
        <f>Chem!C151</f>
        <v>15</v>
      </c>
      <c r="G26" s="72">
        <v>1</v>
      </c>
      <c r="M26" s="159"/>
      <c r="N26" s="8"/>
      <c r="O26" s="26"/>
      <c r="P26" s="26"/>
      <c r="Q26" s="107"/>
    </row>
    <row r="27" spans="2:19" outlineLevel="1" x14ac:dyDescent="0.15">
      <c r="B27" s="8" t="s">
        <v>1372</v>
      </c>
      <c r="C27" s="8"/>
      <c r="D27" s="8"/>
      <c r="E27" s="8"/>
      <c r="F27" s="466">
        <f>Chem!C152</f>
        <v>2.7</v>
      </c>
      <c r="G27" s="72">
        <v>1</v>
      </c>
      <c r="M27" s="8"/>
      <c r="N27" s="8"/>
      <c r="O27" s="26"/>
      <c r="P27" s="26"/>
      <c r="Q27" s="107"/>
    </row>
    <row r="28" spans="2:19" outlineLevel="1" x14ac:dyDescent="0.15">
      <c r="B28" s="8"/>
      <c r="C28" s="8"/>
      <c r="D28" s="8"/>
      <c r="E28" s="8"/>
      <c r="F28" s="467"/>
      <c r="G28" s="45"/>
      <c r="M28" s="8"/>
      <c r="N28" s="8"/>
      <c r="O28" s="26"/>
      <c r="P28" s="26"/>
      <c r="Q28" s="107"/>
    </row>
    <row r="29" spans="2:19" ht="16" outlineLevel="1" x14ac:dyDescent="0.2">
      <c r="B29" s="5" t="s">
        <v>927</v>
      </c>
      <c r="C29" s="8"/>
      <c r="D29" s="8"/>
      <c r="E29" s="8"/>
      <c r="F29" s="467"/>
      <c r="G29" s="45"/>
      <c r="M29" s="8"/>
      <c r="N29" s="8"/>
      <c r="O29" s="26"/>
      <c r="P29" s="26"/>
      <c r="Q29" s="107"/>
    </row>
    <row r="30" spans="2:19" outlineLevel="1" x14ac:dyDescent="0.15">
      <c r="B30" s="8" t="s">
        <v>90</v>
      </c>
      <c r="C30" s="8"/>
      <c r="D30" s="8"/>
      <c r="E30" s="8"/>
      <c r="F30" s="466">
        <f>Chem!C155</f>
        <v>9</v>
      </c>
      <c r="G30" s="72">
        <v>1</v>
      </c>
      <c r="M30" s="8"/>
      <c r="N30" s="8"/>
      <c r="O30" s="26"/>
      <c r="P30" s="26"/>
      <c r="Q30" s="107"/>
    </row>
    <row r="31" spans="2:19" outlineLevel="1" x14ac:dyDescent="0.15">
      <c r="B31" s="8" t="s">
        <v>1371</v>
      </c>
      <c r="C31" s="8"/>
      <c r="D31" s="8"/>
      <c r="E31" s="8"/>
      <c r="F31" s="466">
        <f>Chem!C156</f>
        <v>7</v>
      </c>
      <c r="G31" s="72">
        <v>1</v>
      </c>
      <c r="M31" s="8"/>
      <c r="N31" s="8"/>
      <c r="O31" s="26"/>
      <c r="P31" s="26"/>
      <c r="Q31" s="107"/>
    </row>
    <row r="32" spans="2:19" outlineLevel="1" x14ac:dyDescent="0.15">
      <c r="B32" s="8" t="s">
        <v>92</v>
      </c>
      <c r="C32" s="8"/>
      <c r="D32" s="8"/>
      <c r="E32" s="8"/>
      <c r="F32" s="466">
        <f>Chem!C157</f>
        <v>10</v>
      </c>
      <c r="G32" s="72">
        <v>1</v>
      </c>
      <c r="M32" s="8"/>
      <c r="N32" s="8"/>
      <c r="O32" s="26"/>
      <c r="P32" s="26"/>
      <c r="Q32" s="107"/>
    </row>
    <row r="33" spans="2:17" outlineLevel="1" x14ac:dyDescent="0.15">
      <c r="B33" s="8" t="s">
        <v>1372</v>
      </c>
      <c r="C33" s="8"/>
      <c r="D33" s="8"/>
      <c r="E33" s="8"/>
      <c r="F33" s="466">
        <f>Chem!C158</f>
        <v>0</v>
      </c>
      <c r="G33" s="72">
        <v>1</v>
      </c>
      <c r="M33" s="8"/>
      <c r="N33" s="8"/>
      <c r="O33" s="26"/>
      <c r="P33" s="26"/>
      <c r="Q33" s="107"/>
    </row>
    <row r="34" spans="2:17" outlineLevel="1" x14ac:dyDescent="0.15">
      <c r="B34" s="8"/>
      <c r="C34" s="8"/>
      <c r="D34" s="8"/>
      <c r="E34" s="8"/>
      <c r="F34" s="467"/>
      <c r="G34" s="45"/>
      <c r="M34" s="8"/>
      <c r="N34" s="8"/>
      <c r="O34" s="26"/>
      <c r="P34" s="26"/>
      <c r="Q34" s="107"/>
    </row>
    <row r="35" spans="2:17" ht="16" outlineLevel="1" x14ac:dyDescent="0.2">
      <c r="B35" s="5" t="s">
        <v>932</v>
      </c>
      <c r="C35" s="8"/>
      <c r="D35" s="8"/>
      <c r="E35" s="8"/>
      <c r="F35" s="467"/>
      <c r="G35" s="45"/>
      <c r="M35" s="8"/>
      <c r="N35" s="8"/>
      <c r="O35" s="26"/>
      <c r="P35" s="26"/>
      <c r="Q35" s="107"/>
    </row>
    <row r="36" spans="2:17" ht="14" outlineLevel="1" x14ac:dyDescent="0.2">
      <c r="B36" s="8" t="s">
        <v>1373</v>
      </c>
      <c r="C36" s="8"/>
      <c r="D36" s="8"/>
      <c r="E36" s="8"/>
      <c r="F36" s="466">
        <f>Chem!C161</f>
        <v>0.2</v>
      </c>
      <c r="G36" s="72">
        <v>1</v>
      </c>
      <c r="M36" s="8"/>
      <c r="N36" s="8"/>
      <c r="O36" s="26"/>
      <c r="P36" s="26"/>
      <c r="Q36" s="107"/>
    </row>
    <row r="37" spans="2:17" ht="14" outlineLevel="1" x14ac:dyDescent="0.2">
      <c r="B37" s="8" t="s">
        <v>1374</v>
      </c>
      <c r="C37" s="8"/>
      <c r="D37" s="8"/>
      <c r="E37" s="8"/>
      <c r="F37" s="466">
        <f>Chem!C162</f>
        <v>1.2</v>
      </c>
      <c r="G37" s="72">
        <v>1</v>
      </c>
      <c r="M37" s="8"/>
      <c r="N37" s="8"/>
      <c r="O37" s="26"/>
      <c r="P37" s="26"/>
      <c r="Q37" s="107"/>
    </row>
    <row r="38" spans="2:17" ht="14" outlineLevel="1" x14ac:dyDescent="0.2">
      <c r="B38" s="8" t="s">
        <v>1112</v>
      </c>
      <c r="C38" s="8"/>
      <c r="D38" s="8"/>
      <c r="E38" s="8"/>
      <c r="F38" s="466">
        <f>Chem!C163</f>
        <v>0.9</v>
      </c>
      <c r="G38" s="72">
        <v>1</v>
      </c>
    </row>
    <row r="39" spans="2:17" outlineLevel="1" x14ac:dyDescent="0.15">
      <c r="B39" s="8" t="s">
        <v>95</v>
      </c>
      <c r="C39" s="8"/>
      <c r="D39" s="8"/>
      <c r="E39" s="8"/>
      <c r="F39" s="466">
        <f>Chem!C164</f>
        <v>9</v>
      </c>
      <c r="G39" s="72">
        <v>1</v>
      </c>
    </row>
    <row r="40" spans="2:17" ht="14" outlineLevel="1" thickBot="1" x14ac:dyDescent="0.2">
      <c r="B40" s="8"/>
      <c r="C40" s="8"/>
      <c r="D40" s="8"/>
      <c r="E40" s="8"/>
      <c r="F40" s="7"/>
      <c r="G40" s="7"/>
    </row>
    <row r="41" spans="2:17" ht="21" thickBot="1" x14ac:dyDescent="0.25">
      <c r="B41" s="1262" t="s">
        <v>1375</v>
      </c>
      <c r="C41" s="1263"/>
      <c r="D41" s="1263"/>
      <c r="E41" s="1263"/>
      <c r="F41" s="1263"/>
      <c r="G41" s="1263"/>
      <c r="H41" s="1263"/>
      <c r="I41" s="1263"/>
      <c r="J41" s="1263"/>
      <c r="K41" s="1263"/>
      <c r="L41" s="1263"/>
      <c r="M41" s="1264"/>
    </row>
    <row r="42" spans="2:17" ht="16" x14ac:dyDescent="0.2">
      <c r="F42" s="1343" t="s">
        <v>1100</v>
      </c>
      <c r="G42" s="1343"/>
      <c r="I42" s="123"/>
      <c r="J42" s="123"/>
      <c r="K42" s="123"/>
      <c r="L42" s="9"/>
    </row>
    <row r="43" spans="2:17" x14ac:dyDescent="0.15">
      <c r="F43" s="1214" t="s">
        <v>1376</v>
      </c>
      <c r="G43" s="1214" t="s">
        <v>1377</v>
      </c>
    </row>
    <row r="44" spans="2:17" ht="16" x14ac:dyDescent="0.2">
      <c r="B44" s="5" t="s">
        <v>266</v>
      </c>
      <c r="E44" s="1214" t="s">
        <v>784</v>
      </c>
      <c r="F44" s="1214" t="s">
        <v>1378</v>
      </c>
      <c r="G44" s="1214" t="s">
        <v>1379</v>
      </c>
    </row>
    <row r="45" spans="2:17" x14ac:dyDescent="0.15">
      <c r="B45" s="8" t="s">
        <v>1380</v>
      </c>
      <c r="E45" s="46" t="s">
        <v>1381</v>
      </c>
      <c r="F45" s="7">
        <f>Lists!AV83*Lists!AW83</f>
        <v>2.4050000000000002</v>
      </c>
      <c r="G45" s="28">
        <f>Lists!AX83</f>
        <v>0.08</v>
      </c>
    </row>
    <row r="46" spans="2:17" x14ac:dyDescent="0.15">
      <c r="B46" s="8" t="s">
        <v>1382</v>
      </c>
      <c r="E46" s="46" t="s">
        <v>1383</v>
      </c>
      <c r="F46" s="7">
        <f>Lists!AV84*Lists!AW84</f>
        <v>8.64</v>
      </c>
      <c r="G46" s="7">
        <f>Lists!AX84</f>
        <v>0.08</v>
      </c>
    </row>
    <row r="47" spans="2:17" x14ac:dyDescent="0.15">
      <c r="B47" s="8" t="s">
        <v>1384</v>
      </c>
      <c r="E47" s="46" t="s">
        <v>1385</v>
      </c>
      <c r="F47" s="7">
        <f>Lists!AV85*Lists!AW85</f>
        <v>3</v>
      </c>
      <c r="G47" s="7">
        <f>Lists!AX85</f>
        <v>0.2</v>
      </c>
    </row>
    <row r="48" spans="2:17" x14ac:dyDescent="0.15">
      <c r="B48" s="8" t="s">
        <v>1386</v>
      </c>
      <c r="E48" s="46" t="s">
        <v>1381</v>
      </c>
      <c r="F48" s="7">
        <f>Lists!AV86*Lists!AW86</f>
        <v>2.4050000000000002</v>
      </c>
      <c r="G48" s="7">
        <f>Lists!AX86</f>
        <v>0.15</v>
      </c>
    </row>
    <row r="49" spans="2:8" x14ac:dyDescent="0.15">
      <c r="B49" s="8" t="s">
        <v>1387</v>
      </c>
      <c r="E49" s="7"/>
      <c r="F49" s="7"/>
      <c r="G49" s="106">
        <f>Lists!AU87</f>
        <v>0.85</v>
      </c>
    </row>
    <row r="50" spans="2:8" x14ac:dyDescent="0.15">
      <c r="B50" s="8"/>
      <c r="E50" s="7"/>
      <c r="F50" s="7"/>
      <c r="G50" s="7"/>
    </row>
    <row r="51" spans="2:8" x14ac:dyDescent="0.15">
      <c r="F51" s="1214" t="s">
        <v>1376</v>
      </c>
      <c r="G51" s="1214" t="s">
        <v>1388</v>
      </c>
    </row>
    <row r="52" spans="2:8" ht="16" x14ac:dyDescent="0.2">
      <c r="B52" s="5" t="s">
        <v>261</v>
      </c>
      <c r="F52" s="1214" t="s">
        <v>1389</v>
      </c>
      <c r="G52" s="1214" t="s">
        <v>1390</v>
      </c>
    </row>
    <row r="53" spans="2:8" x14ac:dyDescent="0.15">
      <c r="B53" s="8" t="s">
        <v>1391</v>
      </c>
      <c r="F53" s="7">
        <f>Lists!AT90</f>
        <v>2</v>
      </c>
      <c r="G53" s="7">
        <f>Lists!AU90</f>
        <v>0.03</v>
      </c>
    </row>
    <row r="54" spans="2:8" x14ac:dyDescent="0.15">
      <c r="B54" s="8"/>
      <c r="F54" s="7"/>
      <c r="G54" s="7"/>
    </row>
    <row r="55" spans="2:8" x14ac:dyDescent="0.15">
      <c r="B55" s="26"/>
      <c r="F55" s="1214" t="s">
        <v>1376</v>
      </c>
      <c r="G55" s="1214" t="s">
        <v>1377</v>
      </c>
    </row>
    <row r="56" spans="2:8" x14ac:dyDescent="0.15">
      <c r="B56" s="26"/>
      <c r="E56" s="1214" t="s">
        <v>784</v>
      </c>
      <c r="F56" s="1214" t="s">
        <v>1378</v>
      </c>
      <c r="G56" s="1214" t="s">
        <v>1392</v>
      </c>
    </row>
    <row r="57" spans="2:8" x14ac:dyDescent="0.15">
      <c r="B57" s="8" t="s">
        <v>1393</v>
      </c>
      <c r="E57" s="46" t="s">
        <v>1383</v>
      </c>
      <c r="F57" s="7">
        <f>Lists!AV93*Lists!AW93+Lists!AX93</f>
        <v>8.7200000000000006</v>
      </c>
      <c r="G57" s="7">
        <f>Lists!AY93</f>
        <v>0.04</v>
      </c>
    </row>
    <row r="58" spans="2:8" x14ac:dyDescent="0.15">
      <c r="B58" s="9" t="s">
        <v>1394</v>
      </c>
      <c r="E58" s="46" t="s">
        <v>1395</v>
      </c>
      <c r="F58" s="7">
        <f>Lists!AV94*Lists!AW94+Lists!AX94</f>
        <v>2.2999999999999998</v>
      </c>
      <c r="G58" s="7">
        <f>Lists!AY94</f>
        <v>0.2</v>
      </c>
    </row>
    <row r="59" spans="2:8" x14ac:dyDescent="0.15">
      <c r="B59" s="9" t="s">
        <v>1396</v>
      </c>
      <c r="E59" s="15" t="s">
        <v>1383</v>
      </c>
      <c r="F59" s="7">
        <f>Lists!AV95*Lists!AW95+Lists!AX95</f>
        <v>8.64</v>
      </c>
      <c r="G59" s="7">
        <f>Lists!AY95</f>
        <v>0.18</v>
      </c>
    </row>
    <row r="60" spans="2:8" x14ac:dyDescent="0.15">
      <c r="B60" s="9" t="s">
        <v>1397</v>
      </c>
      <c r="E60" s="15" t="s">
        <v>1398</v>
      </c>
      <c r="F60" s="7">
        <f>Lists!AV96*Lists!AW96+Lists!AX96</f>
        <v>2.4</v>
      </c>
      <c r="G60" s="7">
        <f>Lists!AY96</f>
        <v>1.5</v>
      </c>
    </row>
    <row r="61" spans="2:8" x14ac:dyDescent="0.15">
      <c r="B61" s="9" t="s">
        <v>1142</v>
      </c>
      <c r="E61" s="7"/>
      <c r="F61" s="7">
        <f>Lists!AV97*Lists!AW97+Lists!AX97</f>
        <v>0</v>
      </c>
      <c r="G61" s="7">
        <f>Lists!AY97</f>
        <v>0.5</v>
      </c>
    </row>
    <row r="62" spans="2:8" x14ac:dyDescent="0.15">
      <c r="B62" s="9"/>
      <c r="E62" s="7"/>
      <c r="F62" s="7"/>
      <c r="G62" s="7"/>
    </row>
    <row r="63" spans="2:8" ht="16" x14ac:dyDescent="0.2">
      <c r="B63" s="463" t="s">
        <v>258</v>
      </c>
      <c r="E63" s="45"/>
      <c r="F63" s="7"/>
      <c r="G63" s="7"/>
    </row>
    <row r="64" spans="2:8" x14ac:dyDescent="0.15">
      <c r="B64" s="9" t="s">
        <v>1399</v>
      </c>
      <c r="E64" s="15" t="str">
        <f>Lists!AR99</f>
        <v>Steel</v>
      </c>
      <c r="F64" s="7">
        <f>Lists!AT99</f>
        <v>1.325</v>
      </c>
      <c r="G64" s="7">
        <f>Lists!AU99</f>
        <v>1</v>
      </c>
      <c r="H64" s="8"/>
    </row>
    <row r="65" spans="2:13" x14ac:dyDescent="0.15">
      <c r="B65" s="8" t="s">
        <v>1400</v>
      </c>
      <c r="E65" s="15" t="str">
        <f>Lists!AR100</f>
        <v>Elastomer</v>
      </c>
      <c r="F65" s="7">
        <f>Lists!AT100</f>
        <v>1.5</v>
      </c>
      <c r="G65" s="7">
        <f>Lists!AU100</f>
        <v>0.2</v>
      </c>
    </row>
    <row r="66" spans="2:13" x14ac:dyDescent="0.15">
      <c r="B66" s="8" t="s">
        <v>430</v>
      </c>
      <c r="E66" s="15" t="str">
        <f>Lists!AR101</f>
        <v>Copper</v>
      </c>
      <c r="F66" s="7">
        <f>Lists!AT101</f>
        <v>8.84</v>
      </c>
      <c r="G66" s="7">
        <f>Lists!AU101</f>
        <v>0.4</v>
      </c>
    </row>
    <row r="67" spans="2:13" x14ac:dyDescent="0.15">
      <c r="B67" s="9" t="s">
        <v>1401</v>
      </c>
      <c r="E67" s="15" t="str">
        <f>Lists!AR102</f>
        <v>Copper</v>
      </c>
      <c r="F67" s="7">
        <f>Lists!AT102</f>
        <v>8.68</v>
      </c>
      <c r="G67" s="7">
        <f>Lists!AU102</f>
        <v>0.6</v>
      </c>
    </row>
    <row r="68" spans="2:13" x14ac:dyDescent="0.15">
      <c r="B68" s="8" t="s">
        <v>1402</v>
      </c>
      <c r="E68" s="15" t="str">
        <f>Lists!AR103</f>
        <v>Stainless Steel</v>
      </c>
      <c r="F68" s="7">
        <f>Lists!AT103</f>
        <v>2.8000000000000003</v>
      </c>
      <c r="G68" s="7">
        <f>Lists!AU103</f>
        <v>0.5</v>
      </c>
    </row>
    <row r="69" spans="2:13" x14ac:dyDescent="0.15">
      <c r="B69" s="8" t="s">
        <v>1403</v>
      </c>
      <c r="E69" s="15" t="str">
        <f>Lists!AR104</f>
        <v>Stainless Steel</v>
      </c>
      <c r="F69" s="7">
        <f>Lists!AT104</f>
        <v>8</v>
      </c>
      <c r="G69" s="7">
        <f>Lists!AU104</f>
        <v>1</v>
      </c>
    </row>
    <row r="70" spans="2:13" x14ac:dyDescent="0.15">
      <c r="B70" s="8" t="s">
        <v>1404</v>
      </c>
      <c r="E70" s="15" t="str">
        <f>Lists!AR105</f>
        <v>Copper</v>
      </c>
      <c r="F70" s="7">
        <f>Lists!AT105</f>
        <v>8.8800000000000008</v>
      </c>
      <c r="G70" s="7">
        <f>Lists!AU105</f>
        <v>0.75</v>
      </c>
    </row>
    <row r="71" spans="2:13" x14ac:dyDescent="0.15">
      <c r="B71" s="8" t="s">
        <v>1152</v>
      </c>
      <c r="E71" s="15" t="str">
        <f>Lists!AR106</f>
        <v>Steel</v>
      </c>
      <c r="F71" s="7">
        <f>Lists!AT106</f>
        <v>1.325</v>
      </c>
      <c r="G71" s="7">
        <f>Lists!AU106</f>
        <v>1</v>
      </c>
      <c r="H71" s="8"/>
    </row>
    <row r="72" spans="2:13" x14ac:dyDescent="0.15">
      <c r="B72" s="8" t="s">
        <v>1153</v>
      </c>
      <c r="E72" s="15" t="str">
        <f>Lists!AR107</f>
        <v>Aluminum</v>
      </c>
      <c r="F72" s="7">
        <f>Lists!AT107</f>
        <v>3.1600000000000006</v>
      </c>
      <c r="G72" s="7">
        <f>Lists!AU107</f>
        <v>3</v>
      </c>
      <c r="H72" s="8"/>
    </row>
    <row r="73" spans="2:13" x14ac:dyDescent="0.15">
      <c r="B73" s="8" t="s">
        <v>1154</v>
      </c>
      <c r="E73" s="15" t="str">
        <f>Lists!AR108</f>
        <v>Steel</v>
      </c>
      <c r="F73" s="7">
        <f>Lists!AT108</f>
        <v>1.375</v>
      </c>
      <c r="G73" s="7">
        <f>Lists!AU108</f>
        <v>3</v>
      </c>
      <c r="H73" s="8"/>
    </row>
    <row r="74" spans="2:13" ht="14" x14ac:dyDescent="0.2">
      <c r="B74" s="8" t="s">
        <v>1405</v>
      </c>
      <c r="E74" s="7">
        <f>Lists!AT109</f>
        <v>3</v>
      </c>
      <c r="F74" s="7"/>
      <c r="G74" s="324"/>
    </row>
    <row r="75" spans="2:13" x14ac:dyDescent="0.15">
      <c r="B75" s="8" t="s">
        <v>1406</v>
      </c>
      <c r="E75" s="7"/>
      <c r="F75" s="7"/>
      <c r="G75" s="106">
        <f>Lists!AU110</f>
        <v>0.85</v>
      </c>
    </row>
    <row r="76" spans="2:13" x14ac:dyDescent="0.15">
      <c r="B76" s="8"/>
      <c r="E76" s="7"/>
      <c r="F76" s="7"/>
      <c r="G76" s="7"/>
    </row>
    <row r="77" spans="2:13" ht="17" thickBot="1" x14ac:dyDescent="0.25">
      <c r="B77" s="5"/>
      <c r="H77" s="32"/>
      <c r="L77" s="45"/>
    </row>
    <row r="78" spans="2:13" ht="21" thickBot="1" x14ac:dyDescent="0.25">
      <c r="B78" s="1262" t="s">
        <v>1407</v>
      </c>
      <c r="C78" s="1263"/>
      <c r="D78" s="1263"/>
      <c r="E78" s="1263"/>
      <c r="F78" s="1263"/>
      <c r="G78" s="1263"/>
      <c r="H78" s="1263"/>
      <c r="I78" s="1263"/>
      <c r="J78" s="1263"/>
      <c r="K78" s="1263"/>
      <c r="L78" s="1263"/>
      <c r="M78" s="1264"/>
    </row>
    <row r="79" spans="2:13" ht="15" customHeight="1" x14ac:dyDescent="0.15">
      <c r="F79" s="45"/>
      <c r="G79" s="45"/>
      <c r="H79" s="45"/>
      <c r="L79" s="45"/>
    </row>
    <row r="80" spans="2:13" ht="15" customHeight="1" x14ac:dyDescent="0.2">
      <c r="B80" s="463" t="s">
        <v>1408</v>
      </c>
      <c r="C80" s="123"/>
      <c r="D80" s="123"/>
      <c r="E80" s="123"/>
      <c r="F80" s="9"/>
      <c r="G80" s="45"/>
      <c r="H80" s="45"/>
      <c r="L80" s="45"/>
    </row>
    <row r="81" spans="2:12" ht="15" customHeight="1" x14ac:dyDescent="0.2">
      <c r="B81" s="8" t="s">
        <v>1409</v>
      </c>
      <c r="C81" s="123"/>
      <c r="D81" s="123"/>
      <c r="E81" s="123"/>
      <c r="F81" s="39">
        <v>320</v>
      </c>
      <c r="G81" s="45"/>
      <c r="H81" s="45"/>
      <c r="L81" s="45"/>
    </row>
    <row r="82" spans="2:12" ht="15" customHeight="1" x14ac:dyDescent="0.2">
      <c r="B82" s="8"/>
      <c r="C82" s="123"/>
      <c r="D82" s="123"/>
      <c r="E82" s="123"/>
      <c r="F82" s="45"/>
      <c r="G82" s="45"/>
      <c r="H82" s="45"/>
      <c r="L82" s="45"/>
    </row>
    <row r="83" spans="2:12" ht="15" customHeight="1" x14ac:dyDescent="0.2">
      <c r="B83" s="507" t="s">
        <v>1410</v>
      </c>
      <c r="C83" s="123"/>
      <c r="D83" s="123"/>
      <c r="E83" s="123"/>
      <c r="F83" s="9"/>
      <c r="G83" s="45"/>
      <c r="H83" s="45"/>
      <c r="L83" s="45"/>
    </row>
    <row r="84" spans="2:12" ht="15" customHeight="1" x14ac:dyDescent="0.2">
      <c r="B84" s="8" t="s">
        <v>1411</v>
      </c>
      <c r="F84" s="39">
        <v>1000</v>
      </c>
      <c r="G84" s="46"/>
      <c r="H84" s="46"/>
      <c r="L84" s="45"/>
    </row>
    <row r="85" spans="2:12" ht="15" customHeight="1" x14ac:dyDescent="0.15">
      <c r="B85" s="8" t="s">
        <v>1412</v>
      </c>
      <c r="F85" s="39">
        <v>15</v>
      </c>
      <c r="G85" s="46"/>
      <c r="H85" s="46"/>
      <c r="L85" s="45"/>
    </row>
    <row r="86" spans="2:12" ht="15" customHeight="1" x14ac:dyDescent="0.15">
      <c r="B86" s="8" t="s">
        <v>1413</v>
      </c>
      <c r="F86" s="45"/>
      <c r="G86" s="45"/>
      <c r="H86" s="45"/>
      <c r="L86" s="45"/>
    </row>
    <row r="87" spans="2:12" ht="15" customHeight="1" x14ac:dyDescent="0.15">
      <c r="B87" s="8" t="s">
        <v>1414</v>
      </c>
      <c r="F87" s="39">
        <v>5</v>
      </c>
      <c r="G87" s="45"/>
      <c r="H87" s="45"/>
      <c r="L87" s="45"/>
    </row>
    <row r="88" spans="2:12" ht="15" customHeight="1" x14ac:dyDescent="0.15">
      <c r="B88" s="8" t="s">
        <v>1415</v>
      </c>
      <c r="F88" s="39">
        <v>10</v>
      </c>
      <c r="G88" s="45"/>
      <c r="H88" s="45"/>
      <c r="L88" s="45"/>
    </row>
    <row r="89" spans="2:12" ht="15" customHeight="1" x14ac:dyDescent="0.15">
      <c r="B89" s="8" t="s">
        <v>1416</v>
      </c>
      <c r="F89" s="39">
        <v>15</v>
      </c>
      <c r="G89" s="45"/>
      <c r="H89" s="45"/>
      <c r="L89" s="45"/>
    </row>
    <row r="90" spans="2:12" ht="15" customHeight="1" x14ac:dyDescent="0.15">
      <c r="F90" s="45"/>
      <c r="G90" s="45"/>
      <c r="H90" s="45"/>
      <c r="L90" s="45"/>
    </row>
    <row r="91" spans="2:12" ht="15" customHeight="1" x14ac:dyDescent="0.2">
      <c r="B91" s="5" t="s">
        <v>1417</v>
      </c>
      <c r="F91" s="45"/>
      <c r="G91" s="45"/>
      <c r="H91" s="45"/>
      <c r="L91" s="45"/>
    </row>
    <row r="92" spans="2:12" ht="15" customHeight="1" x14ac:dyDescent="0.15">
      <c r="B92" s="507" t="s">
        <v>1285</v>
      </c>
      <c r="F92" s="45"/>
      <c r="G92" s="45"/>
      <c r="H92" s="45"/>
      <c r="L92" s="45"/>
    </row>
    <row r="93" spans="2:12" ht="15" customHeight="1" x14ac:dyDescent="0.15">
      <c r="B93" s="8" t="s">
        <v>1418</v>
      </c>
      <c r="F93" s="39">
        <v>25</v>
      </c>
      <c r="G93" s="45"/>
      <c r="H93" s="45"/>
      <c r="L93" s="45"/>
    </row>
    <row r="94" spans="2:12" ht="15" customHeight="1" x14ac:dyDescent="0.15">
      <c r="B94" s="8" t="s">
        <v>1419</v>
      </c>
      <c r="F94" s="39">
        <v>0.04</v>
      </c>
      <c r="G94" s="45"/>
      <c r="H94" s="45"/>
      <c r="L94" s="45"/>
    </row>
    <row r="95" spans="2:12" ht="15" customHeight="1" x14ac:dyDescent="0.15">
      <c r="B95" t="s">
        <v>1420</v>
      </c>
      <c r="F95" s="45"/>
      <c r="G95" s="45"/>
      <c r="H95" s="45"/>
      <c r="L95" s="45"/>
    </row>
    <row r="96" spans="2:12" ht="15" customHeight="1" x14ac:dyDescent="0.15">
      <c r="B96" s="8" t="s">
        <v>1421</v>
      </c>
      <c r="F96" s="39">
        <v>40</v>
      </c>
      <c r="G96" s="45"/>
      <c r="H96" s="45"/>
      <c r="L96" s="45"/>
    </row>
    <row r="97" spans="2:12" ht="15" customHeight="1" x14ac:dyDescent="0.15">
      <c r="B97" s="8" t="s">
        <v>1422</v>
      </c>
      <c r="F97" s="39">
        <v>2</v>
      </c>
      <c r="G97" s="45"/>
      <c r="H97" s="45"/>
      <c r="L97" s="45"/>
    </row>
    <row r="98" spans="2:12" ht="15" customHeight="1" x14ac:dyDescent="0.15">
      <c r="B98" s="8"/>
      <c r="F98" s="45"/>
      <c r="G98" s="45"/>
      <c r="H98" s="45"/>
      <c r="L98" s="45"/>
    </row>
    <row r="99" spans="2:12" ht="15" customHeight="1" x14ac:dyDescent="0.15">
      <c r="B99" s="507" t="s">
        <v>1289</v>
      </c>
      <c r="F99" s="45"/>
      <c r="G99" s="45"/>
      <c r="H99" s="45"/>
      <c r="L99" s="45"/>
    </row>
    <row r="100" spans="2:12" ht="15" customHeight="1" x14ac:dyDescent="0.15">
      <c r="B100" s="8" t="s">
        <v>1423</v>
      </c>
      <c r="F100" s="45"/>
      <c r="G100" s="45"/>
      <c r="H100" s="45"/>
      <c r="L100" s="45"/>
    </row>
    <row r="101" spans="2:12" ht="15" customHeight="1" x14ac:dyDescent="0.15">
      <c r="B101" s="8" t="s">
        <v>1424</v>
      </c>
      <c r="F101" s="39">
        <v>25</v>
      </c>
      <c r="G101" s="45"/>
      <c r="H101" s="45"/>
      <c r="L101" s="45"/>
    </row>
    <row r="102" spans="2:12" ht="15" customHeight="1" x14ac:dyDescent="0.15">
      <c r="B102" s="8" t="s">
        <v>1425</v>
      </c>
      <c r="F102" s="39">
        <v>0.75</v>
      </c>
      <c r="G102" s="45"/>
      <c r="H102" s="45"/>
      <c r="L102" s="45"/>
    </row>
    <row r="103" spans="2:12" ht="15" customHeight="1" x14ac:dyDescent="0.15">
      <c r="B103" s="8" t="s">
        <v>1426</v>
      </c>
      <c r="F103" s="39">
        <v>35</v>
      </c>
      <c r="G103" s="45"/>
      <c r="H103" s="45"/>
      <c r="L103" s="45"/>
    </row>
    <row r="104" spans="2:12" ht="15" customHeight="1" x14ac:dyDescent="0.15">
      <c r="B104" s="8" t="s">
        <v>1427</v>
      </c>
      <c r="F104" s="45"/>
      <c r="G104" s="45"/>
      <c r="H104" s="45"/>
      <c r="L104" s="45"/>
    </row>
    <row r="105" spans="2:12" ht="15" customHeight="1" x14ac:dyDescent="0.15">
      <c r="B105" s="8" t="s">
        <v>1428</v>
      </c>
      <c r="F105" s="72">
        <v>10</v>
      </c>
      <c r="G105" s="45"/>
      <c r="H105" s="45"/>
      <c r="L105" s="45"/>
    </row>
    <row r="106" spans="2:12" ht="15" customHeight="1" x14ac:dyDescent="0.15">
      <c r="B106" s="8" t="s">
        <v>1429</v>
      </c>
      <c r="F106" s="72">
        <v>15</v>
      </c>
      <c r="G106" s="45"/>
      <c r="H106" s="45"/>
      <c r="L106" s="45"/>
    </row>
    <row r="107" spans="2:12" ht="15" customHeight="1" x14ac:dyDescent="0.15">
      <c r="B107" s="8" t="s">
        <v>1430</v>
      </c>
      <c r="F107" s="3">
        <f>(100/F105*(F131+F138+F147+F156+F165+F172+F180+F187+F195+F202+F210+F218+F225+F232+F239+F246+F253+F262+F271+F279+F287+F295+F302+F309)+100/F106*(F317+F325+F332))/(F131+F138+F147+F156+F165+F172+F180+F187+F195+F202+F210+F218+F225+F232+F239+F246+F253+F262+F271+F279+F287+F295+F302+F309+F317+F325+F332)</f>
        <v>8.6957599869576008</v>
      </c>
      <c r="G107" s="45"/>
      <c r="H107" s="45"/>
      <c r="L107" s="45"/>
    </row>
    <row r="108" spans="2:12" ht="15" customHeight="1" x14ac:dyDescent="0.15">
      <c r="B108" s="8" t="s">
        <v>1431</v>
      </c>
      <c r="F108" s="39">
        <v>20</v>
      </c>
      <c r="G108" s="45"/>
      <c r="H108" s="45"/>
      <c r="L108" s="45"/>
    </row>
    <row r="109" spans="2:12" ht="15" customHeight="1" x14ac:dyDescent="0.15">
      <c r="B109" s="8" t="s">
        <v>1432</v>
      </c>
      <c r="F109" s="45">
        <f>100/F108</f>
        <v>5</v>
      </c>
      <c r="G109" s="45"/>
      <c r="H109" s="45"/>
      <c r="L109" s="45"/>
    </row>
    <row r="110" spans="2:12" ht="15" customHeight="1" x14ac:dyDescent="0.15">
      <c r="B110" s="8" t="s">
        <v>1433</v>
      </c>
      <c r="F110" s="39">
        <v>0.75</v>
      </c>
      <c r="G110" s="45"/>
      <c r="H110" s="45"/>
      <c r="L110" s="45"/>
    </row>
    <row r="111" spans="2:12" ht="15" customHeight="1" x14ac:dyDescent="0.15">
      <c r="B111" s="8" t="s">
        <v>1434</v>
      </c>
      <c r="F111" s="39">
        <v>5</v>
      </c>
      <c r="G111" s="45"/>
      <c r="H111" s="45"/>
      <c r="L111" s="45"/>
    </row>
    <row r="112" spans="2:12" ht="15" customHeight="1" x14ac:dyDescent="0.15">
      <c r="B112" s="8" t="s">
        <v>1435</v>
      </c>
      <c r="F112" s="39">
        <v>5.6</v>
      </c>
      <c r="G112" s="45"/>
      <c r="H112" s="45"/>
      <c r="L112" s="45"/>
    </row>
    <row r="113" spans="2:18" ht="15" customHeight="1" x14ac:dyDescent="0.15">
      <c r="B113" s="8" t="s">
        <v>1436</v>
      </c>
      <c r="F113" s="39">
        <v>5</v>
      </c>
      <c r="G113" s="45"/>
      <c r="H113" s="45"/>
      <c r="L113" s="45"/>
    </row>
    <row r="114" spans="2:18" ht="15" customHeight="1" x14ac:dyDescent="0.15">
      <c r="B114" s="8" t="s">
        <v>1437</v>
      </c>
      <c r="F114" s="39">
        <v>5.6</v>
      </c>
      <c r="G114" s="45"/>
      <c r="H114" s="45"/>
      <c r="L114" s="45"/>
    </row>
    <row r="115" spans="2:18" ht="15" customHeight="1" x14ac:dyDescent="0.15">
      <c r="B115" s="32"/>
      <c r="F115" s="45"/>
      <c r="G115" s="45"/>
      <c r="H115" s="45"/>
      <c r="L115" s="45"/>
    </row>
    <row r="116" spans="2:18" ht="15" customHeight="1" x14ac:dyDescent="0.2">
      <c r="B116" s="5" t="s">
        <v>1438</v>
      </c>
      <c r="C116" s="5"/>
      <c r="D116" s="5"/>
      <c r="E116" s="85"/>
      <c r="F116" s="1214" t="s">
        <v>1439</v>
      </c>
      <c r="G116" s="45"/>
      <c r="H116" s="45"/>
      <c r="L116" s="45"/>
    </row>
    <row r="117" spans="2:18" x14ac:dyDescent="0.15">
      <c r="B117" s="95" t="s">
        <v>1440</v>
      </c>
      <c r="C117" s="396"/>
      <c r="D117" s="396"/>
      <c r="E117" s="1214"/>
      <c r="F117" s="28">
        <f>(1+(F110/100+F113/100*Lists!$C$162)*(F87/100+F89/100))*(1+F114/100*Lists!$D$162)</f>
        <v>1.0681440000000002</v>
      </c>
      <c r="G117" s="33"/>
      <c r="P117" s="115"/>
      <c r="Q117" s="105"/>
      <c r="R117" s="35"/>
    </row>
    <row r="118" spans="2:18" x14ac:dyDescent="0.15">
      <c r="B118" s="95" t="s">
        <v>1441</v>
      </c>
      <c r="E118" s="62"/>
      <c r="F118" s="28">
        <f>(1+F96/100+F101/100*(1+F96/100)+F113/100*Lists!$C$162*(F88/100*(1+F96/100)+F89/100*(1+F96/100)))*(1+F114/100*Lists!$D$162)</f>
        <v>1.8664800000000001</v>
      </c>
      <c r="G118" s="33"/>
      <c r="P118" s="115"/>
      <c r="Q118" s="105"/>
      <c r="R118" s="35"/>
    </row>
    <row r="119" spans="2:18" x14ac:dyDescent="0.15">
      <c r="B119" s="95" t="s">
        <v>1442</v>
      </c>
      <c r="E119" s="62"/>
      <c r="F119" s="28">
        <f>((1+F85/100)*(F97/100*(1+F101/100)+F102/100)+(1+F85/100+(F88/100+F89/100)*F97/100*(1+F85/100))*(F110/100+F113/100*Lists!C162)+F107/100*(1+F103/100))*(1+F114/100*Lists!D162)</f>
        <v>0.23361189437406757</v>
      </c>
      <c r="G119" s="33"/>
      <c r="P119" s="115"/>
      <c r="Q119" s="105"/>
      <c r="R119" s="35"/>
    </row>
    <row r="120" spans="2:18" x14ac:dyDescent="0.15">
      <c r="B120" s="95" t="s">
        <v>1443</v>
      </c>
      <c r="E120" s="62"/>
      <c r="F120" s="10">
        <f>((1+F85/100)*(F97/100*(1+F101/100)+F102/100)+(1+F85/100+(F88/100+F89/100)*F97/100*(1+F85/100))*(F110/100+F113/100*Lists!C162)+F109/100*(1+F103/100))*(1+F114/100*Lists!D162)</f>
        <v>0.18092513999999998</v>
      </c>
      <c r="G120" s="33"/>
      <c r="P120" s="115"/>
      <c r="Q120" s="105"/>
      <c r="R120" s="35"/>
    </row>
    <row r="121" spans="2:18" x14ac:dyDescent="0.15">
      <c r="B121" s="95" t="s">
        <v>1444</v>
      </c>
      <c r="E121" s="62"/>
      <c r="F121" s="28">
        <f>(1+(F110/100+F113/100*Lists!$C$162)*(F88/100+F89/100))*(1+F114/100*Lists!$D$162)</f>
        <v>1.07118</v>
      </c>
      <c r="G121" s="33"/>
      <c r="P121" s="115"/>
      <c r="Q121" s="105"/>
      <c r="R121" s="35"/>
    </row>
    <row r="122" spans="2:18" ht="14" thickBot="1" x14ac:dyDescent="0.2">
      <c r="P122" s="115"/>
      <c r="Q122" s="105"/>
      <c r="R122" s="35"/>
    </row>
    <row r="123" spans="2:18" ht="21" thickBot="1" x14ac:dyDescent="0.25">
      <c r="B123" s="1262" t="s">
        <v>1445</v>
      </c>
      <c r="C123" s="1263"/>
      <c r="D123" s="1263"/>
      <c r="E123" s="1263"/>
      <c r="F123" s="1263"/>
      <c r="G123" s="1263"/>
      <c r="H123" s="1263"/>
      <c r="I123" s="1263"/>
      <c r="J123" s="1263"/>
      <c r="K123" s="1263"/>
      <c r="L123" s="1263"/>
      <c r="M123" s="1264"/>
    </row>
    <row r="124" spans="2:18" x14ac:dyDescent="0.15">
      <c r="B124" s="9"/>
      <c r="C124" s="9"/>
      <c r="D124" s="9"/>
      <c r="E124" s="9"/>
      <c r="F124" s="29" t="s">
        <v>1100</v>
      </c>
      <c r="G124" s="26"/>
    </row>
    <row r="125" spans="2:18" x14ac:dyDescent="0.15">
      <c r="B125" s="30" t="s">
        <v>1446</v>
      </c>
      <c r="C125" s="1217"/>
      <c r="D125" s="1217"/>
      <c r="E125" s="1217"/>
      <c r="F125" s="31" t="s">
        <v>1170</v>
      </c>
      <c r="G125" s="1217" t="s">
        <v>1101</v>
      </c>
    </row>
    <row r="126" spans="2:18" ht="16" x14ac:dyDescent="0.2">
      <c r="B126" s="5" t="s">
        <v>1168</v>
      </c>
      <c r="C126" s="26"/>
      <c r="D126" s="26"/>
      <c r="E126" s="26"/>
      <c r="F126" s="110"/>
      <c r="G126" s="104"/>
      <c r="M126" s="8"/>
      <c r="N126" s="88"/>
    </row>
    <row r="127" spans="2:18" ht="14" x14ac:dyDescent="0.15">
      <c r="B127" s="507" t="s">
        <v>1447</v>
      </c>
      <c r="C127" s="8"/>
      <c r="D127" s="8"/>
      <c r="E127" s="8"/>
      <c r="F127" s="110"/>
      <c r="G127" s="104"/>
      <c r="N127" s="88"/>
    </row>
    <row r="128" spans="2:18" x14ac:dyDescent="0.15">
      <c r="B128" s="225" t="s">
        <v>1448</v>
      </c>
      <c r="C128" s="8"/>
      <c r="D128" s="8"/>
      <c r="F128" s="110"/>
      <c r="G128" s="104"/>
      <c r="N128" s="8"/>
    </row>
    <row r="129" spans="1:16" x14ac:dyDescent="0.15">
      <c r="B129" s="8" t="s">
        <v>1449</v>
      </c>
      <c r="C129" s="8"/>
      <c r="D129" s="8"/>
      <c r="E129" s="8"/>
      <c r="F129" s="110"/>
      <c r="G129" s="104"/>
      <c r="H129" s="8"/>
      <c r="I129" s="8"/>
      <c r="J129" s="8"/>
      <c r="K129" s="8"/>
      <c r="L129" s="88"/>
      <c r="M129" s="8"/>
      <c r="N129" s="8"/>
      <c r="O129" s="8"/>
      <c r="P129" s="8"/>
    </row>
    <row r="130" spans="1:16" x14ac:dyDescent="0.15">
      <c r="A130" s="8"/>
      <c r="B130" s="8" t="s">
        <v>1173</v>
      </c>
      <c r="C130" s="8"/>
      <c r="D130" s="8"/>
      <c r="E130" s="844"/>
      <c r="F130" s="142">
        <v>210000</v>
      </c>
      <c r="G130" s="38">
        <v>0.9</v>
      </c>
      <c r="H130" s="144"/>
      <c r="J130" s="52"/>
      <c r="K130" s="52"/>
      <c r="L130" s="1056"/>
      <c r="M130" s="52"/>
      <c r="N130" s="52"/>
      <c r="O130" s="52"/>
      <c r="P130" s="52"/>
    </row>
    <row r="131" spans="1:16" x14ac:dyDescent="0.15">
      <c r="B131" s="8" t="s">
        <v>1174</v>
      </c>
      <c r="C131" s="8"/>
      <c r="D131" s="8"/>
      <c r="E131" s="844"/>
      <c r="F131" s="403">
        <v>152.04000000000002</v>
      </c>
      <c r="G131" s="38">
        <v>0.9</v>
      </c>
      <c r="H131" s="144"/>
      <c r="J131" s="52"/>
      <c r="K131" s="52"/>
      <c r="L131" s="1056"/>
      <c r="M131" s="52"/>
      <c r="N131" s="52"/>
      <c r="O131" s="52"/>
      <c r="P131" s="52"/>
    </row>
    <row r="132" spans="1:16" ht="14" x14ac:dyDescent="0.2">
      <c r="B132" s="8" t="s">
        <v>1175</v>
      </c>
      <c r="C132" s="8"/>
      <c r="D132" s="8"/>
      <c r="E132" s="844"/>
      <c r="F132" s="142">
        <v>8600</v>
      </c>
      <c r="G132" s="38">
        <v>0.95</v>
      </c>
      <c r="H132" s="144"/>
      <c r="J132" s="52"/>
      <c r="K132" s="52"/>
      <c r="L132" s="1056"/>
      <c r="M132" s="52"/>
      <c r="N132" s="52"/>
      <c r="O132" s="52"/>
      <c r="P132" s="52"/>
    </row>
    <row r="133" spans="1:16" x14ac:dyDescent="0.15">
      <c r="B133" s="8" t="s">
        <v>1176</v>
      </c>
      <c r="C133" s="8"/>
      <c r="D133" s="8"/>
      <c r="E133" s="844"/>
      <c r="F133" s="142">
        <v>6700</v>
      </c>
      <c r="G133" s="38">
        <v>0.95</v>
      </c>
      <c r="J133" s="52"/>
      <c r="K133" s="52"/>
      <c r="L133" s="1056"/>
      <c r="M133" s="52"/>
      <c r="N133" s="52"/>
      <c r="O133" s="52"/>
      <c r="P133" s="52"/>
    </row>
    <row r="134" spans="1:16" x14ac:dyDescent="0.15">
      <c r="B134" s="8"/>
      <c r="C134" s="8"/>
      <c r="D134" s="8"/>
      <c r="E134" s="844"/>
      <c r="F134" s="557"/>
      <c r="G134" s="7"/>
      <c r="K134" s="52"/>
      <c r="L134" s="1056"/>
      <c r="M134" s="52"/>
      <c r="N134" s="52"/>
      <c r="O134" s="52"/>
      <c r="P134" s="52"/>
    </row>
    <row r="135" spans="1:16" x14ac:dyDescent="0.15">
      <c r="A135" s="8"/>
      <c r="B135" s="225" t="s">
        <v>1450</v>
      </c>
      <c r="C135" s="8"/>
      <c r="D135" s="8"/>
      <c r="E135" s="844"/>
      <c r="F135" s="110"/>
      <c r="G135" s="104"/>
      <c r="I135" s="52"/>
      <c r="J135" s="52"/>
      <c r="K135" s="52"/>
      <c r="L135" s="1056"/>
      <c r="M135" s="52"/>
      <c r="N135" s="52"/>
      <c r="O135" s="52"/>
      <c r="P135" s="52"/>
    </row>
    <row r="136" spans="1:16" x14ac:dyDescent="0.15">
      <c r="B136" s="8" t="s">
        <v>1449</v>
      </c>
      <c r="C136" s="8"/>
      <c r="D136" s="8"/>
      <c r="E136" s="844"/>
      <c r="F136" s="110"/>
      <c r="G136" s="104"/>
      <c r="I136" s="52"/>
      <c r="J136" s="52"/>
      <c r="K136" s="52"/>
      <c r="L136" s="1056"/>
      <c r="M136" s="52"/>
      <c r="N136" s="52"/>
      <c r="O136" s="52"/>
      <c r="P136" s="52"/>
    </row>
    <row r="137" spans="1:16" x14ac:dyDescent="0.15">
      <c r="B137" s="8" t="s">
        <v>1173</v>
      </c>
      <c r="C137" s="8"/>
      <c r="D137" s="8"/>
      <c r="E137" s="844"/>
      <c r="F137" s="142">
        <v>220000</v>
      </c>
      <c r="G137" s="38">
        <v>0.9</v>
      </c>
      <c r="H137" s="144"/>
      <c r="I137" s="52"/>
      <c r="J137" s="52"/>
      <c r="K137" s="52"/>
      <c r="L137" s="1056"/>
      <c r="M137" s="52"/>
      <c r="N137" s="52"/>
      <c r="O137" s="52"/>
      <c r="P137" s="52"/>
    </row>
    <row r="138" spans="1:16" x14ac:dyDescent="0.15">
      <c r="B138" s="8" t="s">
        <v>1174</v>
      </c>
      <c r="C138" s="8"/>
      <c r="D138" s="8"/>
      <c r="E138" s="844"/>
      <c r="F138" s="403">
        <v>166.52</v>
      </c>
      <c r="G138" s="38">
        <v>0.9</v>
      </c>
      <c r="H138" s="144"/>
      <c r="I138" s="52"/>
      <c r="J138" s="52"/>
      <c r="K138" s="47"/>
      <c r="L138" s="1057"/>
      <c r="M138" s="47"/>
      <c r="N138" s="47"/>
      <c r="O138" s="47"/>
      <c r="P138" s="52"/>
    </row>
    <row r="139" spans="1:16" ht="14" x14ac:dyDescent="0.2">
      <c r="B139" s="8" t="s">
        <v>1175</v>
      </c>
      <c r="C139" s="8"/>
      <c r="D139" s="8"/>
      <c r="E139" s="844"/>
      <c r="F139" s="142">
        <v>8800</v>
      </c>
      <c r="G139" s="38">
        <v>0.95</v>
      </c>
      <c r="I139" s="52"/>
      <c r="J139" s="52"/>
      <c r="K139" s="52"/>
      <c r="L139" s="1056"/>
      <c r="M139" s="52"/>
      <c r="N139" s="52"/>
      <c r="O139" s="52"/>
      <c r="P139" s="52"/>
    </row>
    <row r="140" spans="1:16" x14ac:dyDescent="0.15">
      <c r="B140" s="8" t="s">
        <v>1176</v>
      </c>
      <c r="C140" s="8"/>
      <c r="D140" s="8"/>
      <c r="E140" s="844"/>
      <c r="F140" s="142">
        <v>7900</v>
      </c>
      <c r="G140" s="38">
        <v>0.95</v>
      </c>
      <c r="I140" s="52"/>
      <c r="J140" s="52"/>
      <c r="K140" s="52"/>
      <c r="L140" s="1056"/>
      <c r="M140" s="52"/>
      <c r="N140" s="52"/>
      <c r="O140" s="52"/>
      <c r="P140" s="52"/>
    </row>
    <row r="141" spans="1:16" x14ac:dyDescent="0.15">
      <c r="B141" s="8"/>
      <c r="C141" s="8"/>
      <c r="D141" s="8"/>
      <c r="E141" s="844"/>
      <c r="F141" s="557"/>
      <c r="G141" s="7"/>
      <c r="I141" s="52"/>
      <c r="J141" s="52"/>
      <c r="K141" s="52"/>
      <c r="L141" s="1056"/>
      <c r="M141" s="52"/>
      <c r="N141" s="52"/>
      <c r="O141" s="52"/>
      <c r="P141" s="52"/>
    </row>
    <row r="142" spans="1:16" ht="14" x14ac:dyDescent="0.15">
      <c r="B142" s="507" t="s">
        <v>1451</v>
      </c>
      <c r="C142" s="8"/>
      <c r="D142" s="8"/>
      <c r="E142" s="844"/>
      <c r="F142" s="110"/>
      <c r="G142" s="104"/>
      <c r="I142" s="52"/>
      <c r="J142" s="52"/>
      <c r="K142" s="52"/>
      <c r="L142" s="1056"/>
      <c r="M142" s="52"/>
      <c r="N142" s="52"/>
      <c r="O142" s="52"/>
      <c r="P142" s="52"/>
    </row>
    <row r="143" spans="1:16" x14ac:dyDescent="0.15">
      <c r="B143" s="225" t="s">
        <v>1448</v>
      </c>
      <c r="C143" s="8"/>
      <c r="D143" s="8"/>
      <c r="E143" s="844"/>
      <c r="F143" s="110"/>
      <c r="G143" s="104"/>
      <c r="I143" s="52"/>
      <c r="J143" s="52"/>
      <c r="K143" s="52"/>
      <c r="L143" s="1056"/>
      <c r="M143" s="52"/>
      <c r="N143" s="52"/>
      <c r="O143" s="52"/>
      <c r="P143" s="52"/>
    </row>
    <row r="144" spans="1:16" x14ac:dyDescent="0.15">
      <c r="B144" s="8" t="s">
        <v>1452</v>
      </c>
      <c r="C144" s="8"/>
      <c r="D144" s="8"/>
      <c r="E144" s="844"/>
      <c r="F144" s="110"/>
      <c r="G144" s="104"/>
      <c r="I144" s="52"/>
      <c r="J144" s="52"/>
      <c r="K144" s="52"/>
      <c r="L144" s="1056"/>
      <c r="M144" s="52"/>
      <c r="N144" s="52"/>
      <c r="O144" s="52"/>
      <c r="P144" s="52"/>
    </row>
    <row r="145" spans="1:16" ht="14" x14ac:dyDescent="0.2">
      <c r="B145" s="8" t="s">
        <v>1453</v>
      </c>
      <c r="C145" s="8"/>
      <c r="D145" s="8"/>
      <c r="E145" s="1061"/>
      <c r="F145" s="1095">
        <f>F352/F348</f>
        <v>7.9867986798679874E-2</v>
      </c>
      <c r="G145" s="38">
        <v>0.2</v>
      </c>
      <c r="H145" s="26"/>
      <c r="I145" s="52"/>
      <c r="J145" s="52"/>
      <c r="K145" s="52"/>
      <c r="L145" s="1060"/>
      <c r="M145" s="52"/>
      <c r="N145" s="52"/>
      <c r="O145" s="52"/>
      <c r="P145" s="52"/>
    </row>
    <row r="146" spans="1:16" x14ac:dyDescent="0.15">
      <c r="B146" s="8" t="s">
        <v>1173</v>
      </c>
      <c r="C146" s="8"/>
      <c r="D146" s="8"/>
      <c r="E146" s="844"/>
      <c r="F146" s="142">
        <v>59000</v>
      </c>
      <c r="G146" s="38">
        <v>0.7</v>
      </c>
      <c r="H146" s="41"/>
      <c r="I146" s="52"/>
      <c r="J146" s="52"/>
      <c r="K146" s="52"/>
      <c r="L146" s="1056"/>
      <c r="M146" s="52"/>
      <c r="N146" s="52"/>
      <c r="O146" s="52"/>
      <c r="P146" s="52"/>
    </row>
    <row r="147" spans="1:16" x14ac:dyDescent="0.15">
      <c r="A147" s="8"/>
      <c r="B147" s="8" t="s">
        <v>1174</v>
      </c>
      <c r="C147" s="8"/>
      <c r="D147" s="8"/>
      <c r="E147" s="844"/>
      <c r="F147" s="403">
        <v>76.075000000000003</v>
      </c>
      <c r="G147" s="38">
        <v>0.9</v>
      </c>
      <c r="I147" s="47"/>
      <c r="J147" s="47"/>
      <c r="K147" s="47"/>
      <c r="L147" s="1057"/>
      <c r="M147" s="47"/>
      <c r="N147" s="47"/>
      <c r="O147" s="47"/>
      <c r="P147" s="52"/>
    </row>
    <row r="148" spans="1:16" ht="14" x14ac:dyDescent="0.2">
      <c r="B148" s="8" t="s">
        <v>1175</v>
      </c>
      <c r="C148" s="8"/>
      <c r="D148" s="8"/>
      <c r="E148" s="844"/>
      <c r="F148" s="142">
        <v>16000</v>
      </c>
      <c r="G148" s="38">
        <v>0.95</v>
      </c>
      <c r="I148" s="52"/>
      <c r="J148" s="52"/>
      <c r="K148" s="52"/>
      <c r="L148" s="1056"/>
      <c r="M148" s="52"/>
      <c r="N148" s="52"/>
      <c r="O148" s="52"/>
      <c r="P148" s="52"/>
    </row>
    <row r="149" spans="1:16" x14ac:dyDescent="0.15">
      <c r="B149" s="8" t="s">
        <v>1182</v>
      </c>
      <c r="C149" s="8"/>
      <c r="D149" s="8"/>
      <c r="E149" s="844"/>
      <c r="F149" s="142">
        <v>7200</v>
      </c>
      <c r="G149" s="38">
        <v>0.95</v>
      </c>
      <c r="I149" s="52"/>
      <c r="J149" s="52"/>
      <c r="K149" s="52"/>
      <c r="L149" s="1056"/>
      <c r="M149" s="52"/>
      <c r="N149" s="52"/>
      <c r="O149" s="52"/>
      <c r="P149" s="52"/>
    </row>
    <row r="150" spans="1:16" x14ac:dyDescent="0.15">
      <c r="B150" s="8" t="s">
        <v>1183</v>
      </c>
      <c r="C150" s="8"/>
      <c r="D150" s="8"/>
      <c r="E150" s="844"/>
      <c r="F150" s="557">
        <f>Lists!AR143*'Cost Input'!F352/'Cost Input'!F337/24</f>
        <v>20481.770833333332</v>
      </c>
      <c r="G150" s="7"/>
      <c r="I150" s="52"/>
      <c r="J150" s="52"/>
      <c r="K150" s="52"/>
      <c r="L150" s="1056"/>
      <c r="M150" s="52"/>
      <c r="N150" s="52"/>
      <c r="O150" s="52"/>
      <c r="P150" s="52"/>
    </row>
    <row r="151" spans="1:16" x14ac:dyDescent="0.15">
      <c r="B151" s="8"/>
      <c r="C151" s="8"/>
      <c r="D151" s="8"/>
      <c r="E151" s="844"/>
      <c r="F151" s="557"/>
      <c r="G151" s="7"/>
      <c r="I151" s="52"/>
      <c r="J151" s="52"/>
      <c r="K151" s="52"/>
      <c r="L151" s="1056"/>
      <c r="M151" s="52"/>
      <c r="N151" s="52"/>
      <c r="O151" s="52"/>
      <c r="P151" s="52"/>
    </row>
    <row r="152" spans="1:16" x14ac:dyDescent="0.15">
      <c r="B152" s="225" t="s">
        <v>1450</v>
      </c>
      <c r="C152" s="8"/>
      <c r="D152" s="8"/>
      <c r="E152" s="844"/>
      <c r="F152" s="110"/>
      <c r="G152" s="56"/>
      <c r="I152" s="52"/>
      <c r="J152" s="52"/>
      <c r="K152" s="52"/>
      <c r="L152" s="1056"/>
      <c r="M152" s="52"/>
      <c r="N152" s="52"/>
      <c r="O152" s="52"/>
      <c r="P152" s="52"/>
    </row>
    <row r="153" spans="1:16" x14ac:dyDescent="0.15">
      <c r="B153" s="8" t="s">
        <v>1454</v>
      </c>
      <c r="C153" s="8"/>
      <c r="D153" s="8"/>
      <c r="E153" s="844"/>
      <c r="F153" s="110"/>
      <c r="G153" s="104"/>
      <c r="I153" s="52"/>
      <c r="J153" s="52"/>
      <c r="K153" s="52"/>
      <c r="L153" s="1056"/>
      <c r="M153" s="52"/>
      <c r="N153" s="52"/>
      <c r="O153" s="52"/>
      <c r="P153" s="52"/>
    </row>
    <row r="154" spans="1:16" ht="14" x14ac:dyDescent="0.2">
      <c r="B154" s="8" t="s">
        <v>1453</v>
      </c>
      <c r="C154" s="8"/>
      <c r="D154" s="8"/>
      <c r="E154" s="1062"/>
      <c r="F154" s="1095">
        <f>F353/F349</f>
        <v>0.13396825396825396</v>
      </c>
      <c r="G154" s="38">
        <v>0.2</v>
      </c>
      <c r="H154" s="26"/>
      <c r="I154" s="52"/>
      <c r="J154" s="52"/>
      <c r="K154" s="52"/>
      <c r="L154" s="1060"/>
      <c r="M154" s="52"/>
      <c r="N154" s="52"/>
      <c r="O154" s="52"/>
      <c r="P154" s="52"/>
    </row>
    <row r="155" spans="1:16" x14ac:dyDescent="0.15">
      <c r="B155" s="8" t="s">
        <v>1173</v>
      </c>
      <c r="C155" s="8"/>
      <c r="D155" s="8"/>
      <c r="E155" s="844"/>
      <c r="F155" s="142">
        <v>59000</v>
      </c>
      <c r="G155" s="38">
        <v>0.7</v>
      </c>
      <c r="H155" s="1077"/>
      <c r="I155" s="52"/>
      <c r="J155" s="52"/>
      <c r="K155" s="52"/>
      <c r="L155" s="1056"/>
      <c r="M155" s="52"/>
      <c r="N155" s="52"/>
      <c r="O155" s="52"/>
      <c r="P155" s="52"/>
    </row>
    <row r="156" spans="1:16" x14ac:dyDescent="0.15">
      <c r="B156" s="8" t="s">
        <v>1174</v>
      </c>
      <c r="C156" s="8"/>
      <c r="D156" s="8"/>
      <c r="E156" s="844"/>
      <c r="F156" s="403">
        <v>71.599999999999994</v>
      </c>
      <c r="G156" s="38">
        <v>0.9</v>
      </c>
      <c r="I156" s="47"/>
      <c r="J156" s="47"/>
      <c r="K156" s="47"/>
      <c r="L156" s="1057"/>
      <c r="M156" s="47"/>
      <c r="N156" s="47"/>
      <c r="O156" s="47"/>
      <c r="P156" s="52"/>
    </row>
    <row r="157" spans="1:16" ht="14" x14ac:dyDescent="0.2">
      <c r="B157" s="8" t="s">
        <v>1175</v>
      </c>
      <c r="C157" s="8"/>
      <c r="D157" s="8"/>
      <c r="E157" s="844"/>
      <c r="F157" s="142">
        <v>16000</v>
      </c>
      <c r="G157" s="38">
        <v>0.95</v>
      </c>
      <c r="I157" s="52"/>
      <c r="J157" s="52"/>
      <c r="K157" s="52"/>
      <c r="L157" s="1056"/>
      <c r="M157" s="52"/>
      <c r="N157" s="52"/>
      <c r="O157" s="52"/>
      <c r="P157" s="52"/>
    </row>
    <row r="158" spans="1:16" x14ac:dyDescent="0.15">
      <c r="B158" s="8" t="s">
        <v>1182</v>
      </c>
      <c r="C158" s="8"/>
      <c r="D158" s="8"/>
      <c r="E158" s="844"/>
      <c r="F158" s="142">
        <v>7200</v>
      </c>
      <c r="G158" s="38">
        <v>0.95</v>
      </c>
      <c r="I158" s="52"/>
      <c r="J158" s="52"/>
      <c r="K158" s="52"/>
      <c r="L158" s="1056"/>
      <c r="M158" s="52"/>
      <c r="N158" s="52"/>
      <c r="O158" s="52"/>
      <c r="P158" s="52"/>
    </row>
    <row r="159" spans="1:16" x14ac:dyDescent="0.15">
      <c r="B159" s="8" t="s">
        <v>1183</v>
      </c>
      <c r="C159" s="8"/>
      <c r="D159" s="8"/>
      <c r="E159" s="844"/>
      <c r="F159" s="557">
        <f>Lists!AR144*'Cost Input'!F353/'Cost Input'!F337/24</f>
        <v>4121.09375</v>
      </c>
      <c r="G159" s="7"/>
      <c r="I159" s="52"/>
      <c r="J159" s="52"/>
      <c r="K159" s="52"/>
      <c r="L159" s="1056"/>
      <c r="M159" s="52"/>
      <c r="N159" s="52"/>
      <c r="O159" s="52"/>
      <c r="P159" s="52"/>
    </row>
    <row r="160" spans="1:16" x14ac:dyDescent="0.15">
      <c r="B160" s="8"/>
      <c r="C160" s="8"/>
      <c r="D160" s="8"/>
      <c r="E160" s="844"/>
      <c r="F160" s="557"/>
      <c r="G160" s="7"/>
      <c r="I160" s="52"/>
      <c r="J160" s="52"/>
      <c r="K160" s="52"/>
      <c r="L160" s="1056"/>
      <c r="M160" s="52"/>
      <c r="N160" s="52"/>
      <c r="O160" s="52"/>
      <c r="P160" s="52"/>
    </row>
    <row r="161" spans="2:16" ht="14" x14ac:dyDescent="0.15">
      <c r="B161" s="507" t="s">
        <v>1187</v>
      </c>
      <c r="C161" s="8"/>
      <c r="D161" s="8"/>
      <c r="E161" s="844"/>
      <c r="F161" s="557"/>
      <c r="G161" s="125"/>
      <c r="I161" s="52"/>
      <c r="J161" s="52"/>
      <c r="K161" s="52"/>
      <c r="L161" s="1056"/>
      <c r="M161" s="52"/>
      <c r="N161" s="52"/>
      <c r="O161" s="52"/>
      <c r="P161" s="52"/>
    </row>
    <row r="162" spans="2:16" x14ac:dyDescent="0.15">
      <c r="B162" s="225" t="s">
        <v>1448</v>
      </c>
      <c r="C162" s="8"/>
      <c r="D162" s="8"/>
      <c r="E162" s="844"/>
      <c r="F162" s="110"/>
      <c r="G162" s="104"/>
      <c r="I162" s="52"/>
      <c r="J162" s="52"/>
      <c r="K162" s="52"/>
      <c r="L162" s="1056"/>
      <c r="M162" s="52"/>
      <c r="N162" s="52"/>
      <c r="O162" s="52"/>
      <c r="P162" s="52"/>
    </row>
    <row r="163" spans="2:16" x14ac:dyDescent="0.15">
      <c r="B163" s="8" t="s">
        <v>1452</v>
      </c>
      <c r="C163" s="8"/>
      <c r="D163" s="8"/>
      <c r="E163" s="844"/>
      <c r="F163" s="110"/>
      <c r="G163" s="104"/>
      <c r="I163" s="52"/>
      <c r="J163" s="52"/>
      <c r="K163" s="52"/>
      <c r="L163" s="1056"/>
      <c r="M163" s="52"/>
      <c r="N163" s="52"/>
      <c r="O163" s="52"/>
      <c r="P163" s="52"/>
    </row>
    <row r="164" spans="2:16" x14ac:dyDescent="0.15">
      <c r="B164" s="8" t="s">
        <v>1173</v>
      </c>
      <c r="C164" s="8"/>
      <c r="D164" s="8"/>
      <c r="E164" s="844"/>
      <c r="F164" s="141">
        <v>47000</v>
      </c>
      <c r="G164" s="38">
        <v>0.7</v>
      </c>
      <c r="H164" s="144"/>
      <c r="I164" s="52"/>
      <c r="J164" s="52"/>
      <c r="K164" s="52"/>
      <c r="L164" s="1056"/>
      <c r="M164" s="52"/>
      <c r="N164" s="52"/>
      <c r="O164" s="52"/>
      <c r="P164" s="52"/>
    </row>
    <row r="165" spans="2:16" x14ac:dyDescent="0.15">
      <c r="B165" s="8" t="s">
        <v>1174</v>
      </c>
      <c r="C165" s="8"/>
      <c r="D165" s="8"/>
      <c r="E165" s="844"/>
      <c r="F165" s="404">
        <v>22.25</v>
      </c>
      <c r="G165" s="38">
        <v>0.9</v>
      </c>
      <c r="I165" s="47"/>
      <c r="J165" s="47"/>
      <c r="K165" s="47"/>
      <c r="L165" s="1057"/>
      <c r="M165" s="47"/>
      <c r="N165" s="47"/>
      <c r="O165" s="47"/>
      <c r="P165" s="47"/>
    </row>
    <row r="166" spans="2:16" ht="14" x14ac:dyDescent="0.2">
      <c r="B166" s="8" t="s">
        <v>1175</v>
      </c>
      <c r="C166" s="8"/>
      <c r="D166" s="8"/>
      <c r="E166" s="844"/>
      <c r="F166" s="141">
        <v>2100</v>
      </c>
      <c r="G166" s="38">
        <v>0.95</v>
      </c>
      <c r="I166" s="52"/>
      <c r="J166" s="52"/>
      <c r="K166" s="52"/>
      <c r="L166" s="1056"/>
      <c r="M166" s="52"/>
      <c r="N166" s="52"/>
      <c r="O166" s="52"/>
      <c r="P166" s="52"/>
    </row>
    <row r="167" spans="2:16" x14ac:dyDescent="0.15">
      <c r="B167" s="8" t="s">
        <v>1176</v>
      </c>
      <c r="C167" s="8"/>
      <c r="D167" s="8"/>
      <c r="E167" s="844"/>
      <c r="F167" s="141">
        <v>900</v>
      </c>
      <c r="G167" s="38">
        <v>0.95</v>
      </c>
      <c r="I167" s="52"/>
      <c r="J167" s="52"/>
      <c r="K167" s="52"/>
      <c r="L167" s="1056"/>
      <c r="M167" s="52"/>
      <c r="N167" s="52"/>
      <c r="O167" s="52"/>
      <c r="P167" s="52"/>
    </row>
    <row r="168" spans="2:16" x14ac:dyDescent="0.15">
      <c r="B168" s="8"/>
      <c r="C168" s="8"/>
      <c r="D168" s="8"/>
      <c r="E168" s="844"/>
      <c r="F168" s="1096"/>
      <c r="G168" s="7"/>
      <c r="I168" s="52"/>
      <c r="J168" s="52"/>
      <c r="K168" s="52"/>
      <c r="L168" s="1056"/>
      <c r="M168" s="52"/>
      <c r="N168" s="52"/>
      <c r="O168" s="52"/>
      <c r="P168" s="52"/>
    </row>
    <row r="169" spans="2:16" x14ac:dyDescent="0.15">
      <c r="B169" s="225" t="s">
        <v>1450</v>
      </c>
      <c r="C169" s="8"/>
      <c r="D169" s="8"/>
      <c r="E169" s="844"/>
      <c r="F169" s="110"/>
      <c r="G169" s="7"/>
      <c r="I169" s="52"/>
      <c r="J169" s="52"/>
      <c r="K169" s="52"/>
      <c r="L169" s="1056"/>
      <c r="M169" s="52"/>
      <c r="N169" s="52"/>
      <c r="O169" s="52"/>
      <c r="P169" s="52"/>
    </row>
    <row r="170" spans="2:16" x14ac:dyDescent="0.15">
      <c r="B170" s="8" t="s">
        <v>1454</v>
      </c>
      <c r="C170" s="8"/>
      <c r="D170" s="8"/>
      <c r="E170" s="844"/>
      <c r="F170" s="110"/>
      <c r="G170" s="7"/>
      <c r="I170" s="52"/>
      <c r="J170" s="52"/>
      <c r="K170" s="52"/>
      <c r="L170" s="1056"/>
      <c r="M170" s="52"/>
      <c r="N170" s="52"/>
      <c r="O170" s="52"/>
      <c r="P170" s="52"/>
    </row>
    <row r="171" spans="2:16" x14ac:dyDescent="0.15">
      <c r="B171" s="8" t="s">
        <v>1173</v>
      </c>
      <c r="C171" s="8"/>
      <c r="D171" s="8"/>
      <c r="E171" s="844"/>
      <c r="F171" s="142">
        <v>53000</v>
      </c>
      <c r="G171" s="38">
        <v>0.7</v>
      </c>
      <c r="H171" s="144"/>
      <c r="I171" s="52"/>
      <c r="J171" s="52"/>
      <c r="K171" s="52"/>
      <c r="L171" s="1056"/>
      <c r="M171" s="52"/>
      <c r="N171" s="52"/>
      <c r="O171" s="52"/>
      <c r="P171" s="52"/>
    </row>
    <row r="172" spans="2:16" x14ac:dyDescent="0.15">
      <c r="B172" s="8" t="s">
        <v>1174</v>
      </c>
      <c r="C172" s="8"/>
      <c r="D172" s="8"/>
      <c r="E172" s="844"/>
      <c r="F172" s="403">
        <v>22.25</v>
      </c>
      <c r="G172" s="38">
        <v>0.9</v>
      </c>
      <c r="I172" s="47"/>
      <c r="J172" s="47"/>
      <c r="K172" s="47"/>
      <c r="L172" s="1057"/>
      <c r="M172" s="47"/>
      <c r="N172" s="47"/>
      <c r="O172" s="47"/>
      <c r="P172" s="47"/>
    </row>
    <row r="173" spans="2:16" ht="14" x14ac:dyDescent="0.2">
      <c r="B173" s="8" t="s">
        <v>1175</v>
      </c>
      <c r="C173" s="8"/>
      <c r="D173" s="8"/>
      <c r="E173" s="844"/>
      <c r="F173" s="142">
        <v>2100</v>
      </c>
      <c r="G173" s="38">
        <v>0.95</v>
      </c>
      <c r="I173" s="52"/>
      <c r="J173" s="52"/>
      <c r="K173" s="52"/>
      <c r="L173" s="1056"/>
      <c r="M173" s="52"/>
      <c r="N173" s="52"/>
      <c r="O173" s="52"/>
      <c r="P173" s="52"/>
    </row>
    <row r="174" spans="2:16" x14ac:dyDescent="0.15">
      <c r="B174" s="8" t="s">
        <v>1176</v>
      </c>
      <c r="C174" s="8"/>
      <c r="D174" s="8"/>
      <c r="E174" s="844"/>
      <c r="F174" s="142">
        <v>350</v>
      </c>
      <c r="G174" s="38">
        <v>0.95</v>
      </c>
      <c r="I174" s="52"/>
      <c r="J174" s="52"/>
      <c r="K174" s="52"/>
      <c r="L174" s="1056"/>
      <c r="M174" s="52"/>
      <c r="N174" s="52"/>
      <c r="O174" s="52"/>
      <c r="P174" s="52"/>
    </row>
    <row r="175" spans="2:16" x14ac:dyDescent="0.15">
      <c r="E175" s="844"/>
      <c r="I175" s="52"/>
      <c r="J175" s="52"/>
      <c r="K175" s="52"/>
      <c r="L175" s="1056"/>
      <c r="M175" s="52"/>
      <c r="N175" s="52"/>
      <c r="O175" s="52"/>
      <c r="P175" s="52"/>
    </row>
    <row r="176" spans="2:16" ht="14" x14ac:dyDescent="0.15">
      <c r="B176" s="507" t="s">
        <v>1188</v>
      </c>
      <c r="E176" s="844"/>
      <c r="I176" s="52"/>
      <c r="J176" s="52"/>
      <c r="K176" s="52"/>
      <c r="L176" s="1056"/>
      <c r="M176" s="52"/>
      <c r="N176" s="52"/>
      <c r="O176" s="52"/>
      <c r="P176" s="52"/>
    </row>
    <row r="177" spans="2:16" x14ac:dyDescent="0.15">
      <c r="B177" s="225" t="s">
        <v>1448</v>
      </c>
      <c r="E177" s="844"/>
      <c r="I177" s="52"/>
      <c r="J177" s="52"/>
      <c r="K177" s="52"/>
      <c r="L177" s="1056"/>
      <c r="M177" s="52"/>
      <c r="N177" s="52"/>
      <c r="O177" s="52"/>
      <c r="P177" s="52"/>
    </row>
    <row r="178" spans="2:16" x14ac:dyDescent="0.15">
      <c r="B178" s="8" t="s">
        <v>1452</v>
      </c>
      <c r="E178" s="844"/>
      <c r="I178" s="52"/>
      <c r="J178" s="52"/>
      <c r="K178" s="52"/>
      <c r="L178" s="1056"/>
      <c r="M178" s="52"/>
      <c r="N178" s="52"/>
      <c r="O178" s="52"/>
      <c r="P178" s="52"/>
    </row>
    <row r="179" spans="2:16" x14ac:dyDescent="0.15">
      <c r="B179" t="s">
        <v>1173</v>
      </c>
      <c r="E179" s="844"/>
      <c r="F179" s="808">
        <v>250000</v>
      </c>
      <c r="G179" s="38">
        <v>0.7</v>
      </c>
      <c r="H179" s="41"/>
      <c r="I179" s="52"/>
      <c r="J179" s="52"/>
      <c r="K179" s="52"/>
      <c r="L179" s="1056"/>
      <c r="M179" s="52"/>
      <c r="N179" s="52"/>
      <c r="O179" s="52"/>
      <c r="P179" s="52"/>
    </row>
    <row r="180" spans="2:16" x14ac:dyDescent="0.15">
      <c r="B180" t="s">
        <v>1174</v>
      </c>
      <c r="E180" s="844"/>
      <c r="F180" s="809">
        <v>26.39</v>
      </c>
      <c r="G180" s="38">
        <v>0.9</v>
      </c>
      <c r="I180" s="47"/>
      <c r="J180" s="47"/>
      <c r="K180" s="47"/>
      <c r="L180" s="1057"/>
      <c r="M180" s="47"/>
      <c r="N180" s="47"/>
      <c r="O180" s="47"/>
      <c r="P180" s="52"/>
    </row>
    <row r="181" spans="2:16" ht="14" x14ac:dyDescent="0.2">
      <c r="B181" s="8" t="s">
        <v>1175</v>
      </c>
      <c r="C181" s="8"/>
      <c r="D181" s="8"/>
      <c r="E181" s="844"/>
      <c r="F181" s="808">
        <v>3200</v>
      </c>
      <c r="G181" s="38">
        <v>0.95</v>
      </c>
      <c r="I181" s="52"/>
      <c r="J181" s="52"/>
      <c r="K181" s="52"/>
      <c r="L181" s="1056"/>
      <c r="M181" s="52"/>
      <c r="N181" s="52"/>
      <c r="O181" s="52"/>
      <c r="P181" s="52"/>
    </row>
    <row r="182" spans="2:16" x14ac:dyDescent="0.15">
      <c r="B182" s="8" t="s">
        <v>1176</v>
      </c>
      <c r="C182" s="8"/>
      <c r="D182" s="8"/>
      <c r="E182" s="844"/>
      <c r="F182" s="808">
        <v>1600</v>
      </c>
      <c r="G182" s="38">
        <v>0.95</v>
      </c>
      <c r="I182" s="52"/>
      <c r="J182" s="52"/>
      <c r="K182" s="52"/>
      <c r="L182" s="1056"/>
      <c r="M182" s="52"/>
      <c r="N182" s="52"/>
      <c r="O182" s="52"/>
      <c r="P182" s="52"/>
    </row>
    <row r="183" spans="2:16" x14ac:dyDescent="0.15">
      <c r="B183" s="8"/>
      <c r="C183" s="8"/>
      <c r="D183" s="8"/>
      <c r="E183" s="844"/>
      <c r="F183" s="557"/>
      <c r="G183" s="7"/>
      <c r="I183" s="52"/>
      <c r="J183" s="52"/>
      <c r="K183" s="52"/>
      <c r="L183" s="1056"/>
      <c r="M183" s="52"/>
      <c r="N183" s="52"/>
      <c r="O183" s="52"/>
      <c r="P183" s="52"/>
    </row>
    <row r="184" spans="2:16" x14ac:dyDescent="0.15">
      <c r="B184" s="225" t="s">
        <v>1450</v>
      </c>
      <c r="C184" s="26"/>
      <c r="D184" s="26"/>
      <c r="E184" s="844"/>
      <c r="F184" s="9"/>
      <c r="G184" s="121"/>
      <c r="I184" s="52"/>
      <c r="J184" s="52"/>
      <c r="K184" s="52"/>
      <c r="L184" s="1056"/>
      <c r="M184" s="52"/>
      <c r="N184" s="52"/>
      <c r="O184" s="52"/>
      <c r="P184" s="52"/>
    </row>
    <row r="185" spans="2:16" x14ac:dyDescent="0.15">
      <c r="B185" s="8" t="s">
        <v>1454</v>
      </c>
      <c r="C185" s="8"/>
      <c r="D185" s="8"/>
      <c r="E185" s="844"/>
      <c r="F185" s="9"/>
      <c r="G185" s="121"/>
      <c r="I185" s="52"/>
      <c r="J185" s="52"/>
      <c r="K185" s="52"/>
      <c r="L185" s="1056"/>
      <c r="M185" s="52"/>
      <c r="N185" s="52"/>
      <c r="O185" s="52"/>
      <c r="P185" s="52"/>
    </row>
    <row r="186" spans="2:16" x14ac:dyDescent="0.15">
      <c r="B186" s="8" t="s">
        <v>1173</v>
      </c>
      <c r="C186" s="8"/>
      <c r="D186" s="8"/>
      <c r="E186" s="844"/>
      <c r="F186" s="138">
        <v>250000</v>
      </c>
      <c r="G186" s="38">
        <v>0.7</v>
      </c>
      <c r="H186" s="41"/>
      <c r="I186" s="52"/>
      <c r="J186" s="52"/>
      <c r="K186" s="52"/>
      <c r="L186" s="1056"/>
      <c r="M186" s="52"/>
      <c r="N186" s="52"/>
      <c r="O186" s="52"/>
      <c r="P186" s="52"/>
    </row>
    <row r="187" spans="2:16" x14ac:dyDescent="0.15">
      <c r="B187" s="8" t="s">
        <v>1174</v>
      </c>
      <c r="C187" s="8"/>
      <c r="D187" s="8"/>
      <c r="E187" s="844"/>
      <c r="F187" s="405">
        <v>26.39</v>
      </c>
      <c r="G187" s="38">
        <v>0.9</v>
      </c>
      <c r="I187" s="47"/>
      <c r="J187" s="47"/>
      <c r="K187" s="47"/>
      <c r="L187" s="1057"/>
      <c r="M187" s="47"/>
      <c r="N187" s="47"/>
      <c r="O187" s="47"/>
      <c r="P187" s="52"/>
    </row>
    <row r="188" spans="2:16" ht="14" x14ac:dyDescent="0.2">
      <c r="B188" s="8" t="s">
        <v>1175</v>
      </c>
      <c r="C188" s="8"/>
      <c r="D188" s="8"/>
      <c r="E188" s="844"/>
      <c r="F188" s="138">
        <v>3200</v>
      </c>
      <c r="G188" s="38">
        <v>0.95</v>
      </c>
      <c r="I188" s="52"/>
      <c r="J188" s="52"/>
      <c r="K188" s="52"/>
      <c r="L188" s="1056"/>
      <c r="M188" s="52"/>
      <c r="N188" s="52"/>
      <c r="O188" s="52"/>
      <c r="P188" s="52"/>
    </row>
    <row r="189" spans="2:16" x14ac:dyDescent="0.15">
      <c r="B189" s="8" t="s">
        <v>1176</v>
      </c>
      <c r="C189" s="8"/>
      <c r="D189" s="8"/>
      <c r="E189" s="844"/>
      <c r="F189" s="138">
        <v>1700</v>
      </c>
      <c r="G189" s="38">
        <v>0.95</v>
      </c>
      <c r="I189" s="52"/>
      <c r="J189" s="52"/>
      <c r="K189" s="52"/>
      <c r="L189" s="1056"/>
      <c r="M189" s="52"/>
      <c r="N189" s="52"/>
      <c r="O189" s="52"/>
      <c r="P189" s="52"/>
    </row>
    <row r="190" spans="2:16" x14ac:dyDescent="0.15">
      <c r="B190" s="8"/>
      <c r="C190" s="8"/>
      <c r="D190" s="8"/>
      <c r="E190" s="844"/>
      <c r="F190" s="125"/>
      <c r="G190" s="7"/>
      <c r="I190" s="52"/>
      <c r="J190" s="52"/>
      <c r="K190" s="52"/>
      <c r="L190" s="1056"/>
      <c r="M190" s="52"/>
      <c r="N190" s="52"/>
      <c r="O190" s="52"/>
      <c r="P190" s="52"/>
    </row>
    <row r="191" spans="2:16" ht="14" x14ac:dyDescent="0.15">
      <c r="B191" s="507" t="s">
        <v>1189</v>
      </c>
      <c r="E191" s="844"/>
      <c r="F191" s="104"/>
      <c r="I191" s="52"/>
      <c r="J191" s="52"/>
      <c r="K191" s="52"/>
      <c r="L191" s="1056"/>
      <c r="M191" s="52"/>
      <c r="N191" s="52"/>
      <c r="O191" s="52"/>
      <c r="P191" s="52"/>
    </row>
    <row r="192" spans="2:16" x14ac:dyDescent="0.15">
      <c r="B192" s="225" t="s">
        <v>1448</v>
      </c>
      <c r="E192" s="844"/>
      <c r="F192" s="104"/>
      <c r="I192" s="52"/>
      <c r="J192" s="52"/>
      <c r="K192" s="52"/>
      <c r="L192" s="1056"/>
      <c r="M192" s="52"/>
      <c r="N192" s="52"/>
      <c r="O192" s="52"/>
      <c r="P192" s="52"/>
    </row>
    <row r="193" spans="2:16" x14ac:dyDescent="0.15">
      <c r="B193" s="8" t="s">
        <v>1452</v>
      </c>
      <c r="C193" s="8"/>
      <c r="D193" s="8"/>
      <c r="E193" s="844"/>
      <c r="F193" s="104"/>
      <c r="I193" s="52"/>
      <c r="J193" s="52"/>
      <c r="K193" s="52"/>
      <c r="L193" s="1056"/>
      <c r="M193" s="52"/>
      <c r="N193" s="52"/>
      <c r="O193" s="52"/>
      <c r="P193" s="52"/>
    </row>
    <row r="194" spans="2:16" x14ac:dyDescent="0.15">
      <c r="B194" s="8" t="s">
        <v>1173</v>
      </c>
      <c r="C194" s="8"/>
      <c r="D194" s="8"/>
      <c r="E194" s="844"/>
      <c r="F194" s="142">
        <v>41000</v>
      </c>
      <c r="G194" s="38">
        <v>0.7</v>
      </c>
      <c r="H194" s="41"/>
      <c r="I194" s="52"/>
      <c r="J194" s="52"/>
      <c r="K194" s="52"/>
      <c r="L194" s="1056"/>
      <c r="M194" s="52"/>
      <c r="N194" s="52"/>
      <c r="O194" s="52"/>
      <c r="P194" s="52"/>
    </row>
    <row r="195" spans="2:16" x14ac:dyDescent="0.15">
      <c r="B195" s="8" t="s">
        <v>1174</v>
      </c>
      <c r="C195" s="8"/>
      <c r="D195" s="8"/>
      <c r="E195" s="844"/>
      <c r="F195" s="403">
        <v>13.58</v>
      </c>
      <c r="G195" s="38">
        <v>0.9</v>
      </c>
      <c r="I195" s="47"/>
      <c r="J195" s="47"/>
      <c r="K195" s="47"/>
      <c r="L195" s="1057"/>
      <c r="M195" s="47"/>
      <c r="N195" s="47"/>
      <c r="O195" s="47"/>
      <c r="P195" s="47"/>
    </row>
    <row r="196" spans="2:16" ht="14" x14ac:dyDescent="0.2">
      <c r="B196" s="8" t="s">
        <v>1175</v>
      </c>
      <c r="C196" s="8"/>
      <c r="D196" s="8"/>
      <c r="E196" s="844"/>
      <c r="F196" s="142">
        <v>1800</v>
      </c>
      <c r="G196" s="38">
        <v>0.95</v>
      </c>
      <c r="H196" s="144"/>
      <c r="I196" s="52"/>
      <c r="J196" s="52"/>
      <c r="K196" s="52"/>
      <c r="L196" s="1056"/>
      <c r="M196" s="52"/>
      <c r="N196" s="52"/>
      <c r="O196" s="52"/>
      <c r="P196" s="52"/>
    </row>
    <row r="197" spans="2:16" x14ac:dyDescent="0.15">
      <c r="B197" s="8" t="s">
        <v>1176</v>
      </c>
      <c r="C197" s="8"/>
      <c r="D197" s="8"/>
      <c r="E197" s="844"/>
      <c r="F197" s="138">
        <v>2600</v>
      </c>
      <c r="G197" s="106">
        <v>0.85</v>
      </c>
      <c r="I197" s="52"/>
      <c r="J197" s="52"/>
      <c r="K197" s="52"/>
      <c r="L197" s="1056"/>
      <c r="M197" s="52"/>
      <c r="N197" s="52"/>
      <c r="O197" s="52"/>
      <c r="P197" s="52"/>
    </row>
    <row r="198" spans="2:16" x14ac:dyDescent="0.15">
      <c r="B198" s="8"/>
      <c r="C198" s="8"/>
      <c r="D198" s="8"/>
      <c r="E198" s="844"/>
      <c r="F198" s="125"/>
      <c r="G198" s="7"/>
      <c r="I198" s="52"/>
      <c r="J198" s="52"/>
      <c r="K198" s="52"/>
      <c r="L198" s="1056"/>
      <c r="M198" s="52"/>
      <c r="N198" s="52"/>
      <c r="O198" s="52"/>
      <c r="P198" s="52"/>
    </row>
    <row r="199" spans="2:16" x14ac:dyDescent="0.15">
      <c r="B199" s="225" t="s">
        <v>1450</v>
      </c>
      <c r="C199" s="8"/>
      <c r="D199" s="8"/>
      <c r="E199" s="844"/>
      <c r="F199" s="125"/>
      <c r="G199" s="7"/>
      <c r="I199" s="52"/>
      <c r="J199" s="52"/>
      <c r="K199" s="52"/>
      <c r="L199" s="1056"/>
      <c r="M199" s="52"/>
      <c r="N199" s="52"/>
      <c r="O199" s="52"/>
      <c r="P199" s="52"/>
    </row>
    <row r="200" spans="2:16" x14ac:dyDescent="0.15">
      <c r="B200" s="8" t="s">
        <v>1454</v>
      </c>
      <c r="C200" s="8"/>
      <c r="D200" s="8"/>
      <c r="E200" s="844"/>
      <c r="I200" s="52"/>
      <c r="J200" s="52"/>
      <c r="K200" s="52"/>
      <c r="L200" s="1056"/>
      <c r="M200" s="52"/>
      <c r="N200" s="52"/>
      <c r="O200" s="52"/>
      <c r="P200" s="52"/>
    </row>
    <row r="201" spans="2:16" x14ac:dyDescent="0.15">
      <c r="B201" s="8" t="s">
        <v>1173</v>
      </c>
      <c r="C201" s="8"/>
      <c r="D201" s="8"/>
      <c r="E201" s="844"/>
      <c r="F201" s="142">
        <v>35000</v>
      </c>
      <c r="G201" s="38">
        <v>0.7</v>
      </c>
      <c r="H201" s="41"/>
      <c r="I201" s="52"/>
      <c r="J201" s="52"/>
      <c r="K201" s="52"/>
      <c r="L201" s="1056"/>
      <c r="M201" s="52"/>
      <c r="N201" s="52"/>
      <c r="O201" s="52"/>
      <c r="P201" s="52"/>
    </row>
    <row r="202" spans="2:16" x14ac:dyDescent="0.15">
      <c r="B202" s="8" t="s">
        <v>1174</v>
      </c>
      <c r="C202" s="8"/>
      <c r="D202" s="8"/>
      <c r="E202" s="844"/>
      <c r="F202" s="403">
        <v>10.67</v>
      </c>
      <c r="G202" s="38">
        <v>0.9</v>
      </c>
      <c r="I202" s="47"/>
      <c r="J202" s="47"/>
      <c r="K202" s="47"/>
      <c r="L202" s="1057"/>
      <c r="M202" s="47"/>
      <c r="N202" s="47"/>
      <c r="O202" s="47"/>
      <c r="P202" s="52"/>
    </row>
    <row r="203" spans="2:16" ht="14" x14ac:dyDescent="0.2">
      <c r="B203" s="8" t="s">
        <v>1175</v>
      </c>
      <c r="C203" s="8"/>
      <c r="D203" s="8"/>
      <c r="E203" s="844"/>
      <c r="F203" s="142">
        <v>1400</v>
      </c>
      <c r="G203" s="38">
        <v>0.95</v>
      </c>
      <c r="H203" s="1077"/>
      <c r="I203" s="52"/>
      <c r="J203" s="52"/>
      <c r="K203" s="52"/>
      <c r="L203" s="1056"/>
      <c r="M203" s="52"/>
      <c r="N203" s="52"/>
      <c r="O203" s="52"/>
      <c r="P203" s="52"/>
    </row>
    <row r="204" spans="2:16" x14ac:dyDescent="0.15">
      <c r="B204" s="8" t="s">
        <v>1176</v>
      </c>
      <c r="C204" s="8"/>
      <c r="D204" s="8"/>
      <c r="E204" s="844"/>
      <c r="F204" s="142">
        <v>2200</v>
      </c>
      <c r="G204" s="38">
        <v>0.85</v>
      </c>
      <c r="H204" s="1077"/>
      <c r="I204" s="52"/>
      <c r="J204" s="52"/>
      <c r="K204" s="52"/>
      <c r="L204" s="1056"/>
      <c r="M204" s="52"/>
      <c r="N204" s="52"/>
      <c r="O204" s="52"/>
      <c r="P204" s="52"/>
    </row>
    <row r="205" spans="2:16" x14ac:dyDescent="0.15">
      <c r="B205" s="8"/>
      <c r="C205" s="8"/>
      <c r="D205" s="8"/>
      <c r="E205" s="844"/>
      <c r="F205" s="125"/>
      <c r="G205" s="7"/>
      <c r="I205" s="52"/>
      <c r="J205" s="52"/>
      <c r="K205" s="52"/>
      <c r="L205" s="1056"/>
      <c r="M205" s="52"/>
      <c r="N205" s="52"/>
      <c r="O205" s="52"/>
      <c r="P205" s="52"/>
    </row>
    <row r="206" spans="2:16" ht="16" x14ac:dyDescent="0.2">
      <c r="B206" s="5" t="s">
        <v>1190</v>
      </c>
      <c r="E206" s="844"/>
      <c r="I206" s="52"/>
      <c r="J206" s="52"/>
      <c r="K206" s="52"/>
      <c r="L206" s="1056"/>
      <c r="M206" s="52"/>
      <c r="N206" s="52"/>
      <c r="O206" s="52"/>
      <c r="P206" s="52"/>
    </row>
    <row r="207" spans="2:16" ht="14" x14ac:dyDescent="0.15">
      <c r="B207" s="507" t="s">
        <v>1455</v>
      </c>
      <c r="C207" s="8"/>
      <c r="D207" s="8"/>
      <c r="E207" s="844"/>
      <c r="F207" s="104"/>
      <c r="G207" s="104"/>
      <c r="I207" s="52"/>
      <c r="J207" s="52"/>
      <c r="K207" s="52"/>
      <c r="L207" s="1056"/>
      <c r="M207" s="52"/>
      <c r="N207" s="52"/>
      <c r="O207" s="52"/>
      <c r="P207" s="52"/>
    </row>
    <row r="208" spans="2:16" x14ac:dyDescent="0.15">
      <c r="B208" s="8" t="s">
        <v>1456</v>
      </c>
      <c r="C208" s="8"/>
      <c r="D208" s="8"/>
      <c r="E208" s="844"/>
      <c r="F208" s="104"/>
      <c r="G208" s="104"/>
      <c r="I208" s="52"/>
      <c r="J208" s="52"/>
      <c r="K208" s="52"/>
      <c r="L208" s="1056"/>
      <c r="M208" s="52"/>
      <c r="N208" s="52"/>
      <c r="O208" s="52"/>
      <c r="P208" s="52"/>
    </row>
    <row r="209" spans="2:16" x14ac:dyDescent="0.15">
      <c r="B209" s="8" t="s">
        <v>1173</v>
      </c>
      <c r="C209" s="8"/>
      <c r="D209" s="8"/>
      <c r="E209" s="844"/>
      <c r="F209" s="138">
        <v>260000</v>
      </c>
      <c r="G209" s="38">
        <v>0.7</v>
      </c>
      <c r="H209" s="144"/>
      <c r="I209" s="52"/>
      <c r="J209" s="52"/>
      <c r="K209" s="52"/>
      <c r="L209" s="1056"/>
      <c r="M209" s="52"/>
      <c r="N209" s="52"/>
      <c r="O209" s="52"/>
      <c r="P209" s="52"/>
    </row>
    <row r="210" spans="2:16" x14ac:dyDescent="0.15">
      <c r="B210" s="8" t="s">
        <v>1174</v>
      </c>
      <c r="C210" s="8"/>
      <c r="D210" s="8"/>
      <c r="E210" s="844"/>
      <c r="F210" s="405">
        <v>67.899999999999991</v>
      </c>
      <c r="G210" s="38">
        <v>0.9</v>
      </c>
      <c r="H210" s="1077"/>
      <c r="I210" s="47"/>
      <c r="J210" s="47"/>
      <c r="K210" s="47"/>
      <c r="L210" s="1057"/>
      <c r="M210" s="47"/>
      <c r="N210" s="47"/>
      <c r="O210" s="47"/>
      <c r="P210" s="47"/>
    </row>
    <row r="211" spans="2:16" ht="14" x14ac:dyDescent="0.2">
      <c r="B211" s="8" t="s">
        <v>1175</v>
      </c>
      <c r="C211" s="8"/>
      <c r="D211" s="8"/>
      <c r="E211" s="844"/>
      <c r="F211" s="138">
        <v>7700</v>
      </c>
      <c r="G211" s="38">
        <v>0.95</v>
      </c>
      <c r="I211" s="52"/>
      <c r="J211" s="52"/>
      <c r="K211" s="52"/>
      <c r="L211" s="1056"/>
      <c r="M211" s="52"/>
      <c r="N211" s="52"/>
      <c r="O211" s="52"/>
      <c r="P211" s="52"/>
    </row>
    <row r="212" spans="2:16" x14ac:dyDescent="0.15">
      <c r="B212" s="8" t="s">
        <v>1176</v>
      </c>
      <c r="C212" s="8"/>
      <c r="D212" s="8"/>
      <c r="E212" s="844"/>
      <c r="F212" s="138">
        <v>1700</v>
      </c>
      <c r="G212" s="38">
        <v>0.95</v>
      </c>
      <c r="I212" s="52"/>
      <c r="J212" s="52"/>
      <c r="K212" s="52"/>
      <c r="L212" s="1056"/>
      <c r="M212" s="52"/>
      <c r="N212" s="52"/>
      <c r="O212" s="52"/>
      <c r="P212" s="52"/>
    </row>
    <row r="213" spans="2:16" ht="16" x14ac:dyDescent="0.2">
      <c r="B213" s="5"/>
      <c r="E213" s="844"/>
      <c r="I213" s="52"/>
      <c r="J213" s="52"/>
      <c r="K213" s="52"/>
      <c r="L213" s="1056"/>
      <c r="M213" s="52"/>
      <c r="N213" s="52"/>
      <c r="O213" s="52"/>
      <c r="P213" s="52"/>
    </row>
    <row r="214" spans="2:16" ht="14" x14ac:dyDescent="0.15">
      <c r="B214" s="507" t="s">
        <v>1457</v>
      </c>
      <c r="C214" s="8"/>
      <c r="D214" s="8"/>
      <c r="E214" s="844"/>
      <c r="F214" s="104"/>
      <c r="I214" s="52"/>
      <c r="J214" s="52"/>
      <c r="K214" s="52"/>
      <c r="L214" s="1056"/>
      <c r="M214" s="52"/>
      <c r="N214" s="52"/>
      <c r="O214" s="52"/>
      <c r="P214" s="52"/>
    </row>
    <row r="215" spans="2:16" x14ac:dyDescent="0.15">
      <c r="B215" s="8" t="s">
        <v>1458</v>
      </c>
      <c r="C215" s="8"/>
      <c r="D215" s="8"/>
      <c r="E215" s="844"/>
      <c r="F215" s="104"/>
      <c r="I215" s="52"/>
      <c r="J215" s="52"/>
      <c r="K215" s="52"/>
      <c r="L215" s="1056"/>
      <c r="M215" s="52"/>
      <c r="N215" s="52"/>
      <c r="O215" s="52"/>
      <c r="P215" s="52"/>
    </row>
    <row r="216" spans="2:16" x14ac:dyDescent="0.15">
      <c r="B216" s="8" t="s">
        <v>1459</v>
      </c>
      <c r="C216" s="8"/>
      <c r="D216" s="8"/>
      <c r="E216" s="844"/>
      <c r="F216" s="408">
        <v>68</v>
      </c>
      <c r="G216" s="139">
        <v>0.95</v>
      </c>
      <c r="I216" s="52"/>
      <c r="J216" s="52"/>
      <c r="K216" s="52"/>
      <c r="L216" s="1056"/>
      <c r="M216" s="52"/>
      <c r="N216" s="52"/>
      <c r="O216" s="52"/>
      <c r="P216" s="52"/>
    </row>
    <row r="217" spans="2:16" x14ac:dyDescent="0.15">
      <c r="B217" s="8" t="s">
        <v>1173</v>
      </c>
      <c r="C217" s="8"/>
      <c r="D217" s="8"/>
      <c r="E217" s="844"/>
      <c r="F217" s="409">
        <v>700000</v>
      </c>
      <c r="G217" s="38">
        <v>0.9</v>
      </c>
      <c r="H217" s="144"/>
      <c r="I217" s="52"/>
      <c r="J217" s="52"/>
      <c r="K217" s="52"/>
      <c r="L217" s="1056"/>
      <c r="M217" s="52"/>
      <c r="N217" s="52"/>
      <c r="O217" s="52"/>
      <c r="P217" s="52"/>
    </row>
    <row r="218" spans="2:16" x14ac:dyDescent="0.15">
      <c r="B218" s="8" t="s">
        <v>1174</v>
      </c>
      <c r="C218" s="8"/>
      <c r="D218" s="8"/>
      <c r="E218" s="844"/>
      <c r="F218" s="410">
        <v>164.9</v>
      </c>
      <c r="G218" s="38">
        <v>0.9</v>
      </c>
      <c r="H218" s="144"/>
      <c r="I218" s="52"/>
      <c r="J218" s="52"/>
      <c r="K218" s="52"/>
      <c r="L218" s="1056"/>
      <c r="M218" s="52"/>
      <c r="N218" s="52"/>
      <c r="O218" s="52"/>
      <c r="P218" s="52"/>
    </row>
    <row r="219" spans="2:16" ht="14" x14ac:dyDescent="0.2">
      <c r="B219" s="8" t="s">
        <v>1175</v>
      </c>
      <c r="C219" s="8"/>
      <c r="D219" s="8"/>
      <c r="E219" s="844"/>
      <c r="F219" s="411">
        <v>15000</v>
      </c>
      <c r="G219" s="38">
        <v>0.95</v>
      </c>
      <c r="I219" s="52"/>
      <c r="J219" s="52"/>
      <c r="K219" s="52"/>
      <c r="L219" s="1056"/>
      <c r="M219" s="52"/>
      <c r="N219" s="52"/>
      <c r="O219" s="52"/>
      <c r="P219" s="52"/>
    </row>
    <row r="220" spans="2:16" x14ac:dyDescent="0.15">
      <c r="B220" s="8" t="s">
        <v>1176</v>
      </c>
      <c r="C220" s="8"/>
      <c r="D220" s="8"/>
      <c r="E220" s="844"/>
      <c r="F220" s="411">
        <v>4800</v>
      </c>
      <c r="G220" s="38">
        <v>0.95</v>
      </c>
      <c r="I220" s="52"/>
      <c r="J220" s="52"/>
      <c r="K220" s="52"/>
      <c r="L220" s="1056"/>
      <c r="M220" s="52"/>
      <c r="N220" s="52"/>
      <c r="O220" s="52"/>
      <c r="P220" s="52"/>
    </row>
    <row r="221" spans="2:16" x14ac:dyDescent="0.15">
      <c r="E221" s="844"/>
      <c r="I221" s="52"/>
      <c r="J221" s="52"/>
      <c r="K221" s="52"/>
      <c r="L221" s="1056"/>
      <c r="M221" s="52"/>
      <c r="N221" s="52"/>
      <c r="O221" s="52"/>
      <c r="P221" s="52"/>
    </row>
    <row r="222" spans="2:16" ht="12.75" customHeight="1" x14ac:dyDescent="0.15">
      <c r="B222" s="507" t="s">
        <v>1460</v>
      </c>
      <c r="C222" s="8"/>
      <c r="D222" s="8"/>
      <c r="E222" s="844"/>
      <c r="F222" s="36"/>
      <c r="G222" s="125"/>
      <c r="I222" s="52"/>
      <c r="J222" s="52"/>
      <c r="K222" s="52"/>
      <c r="L222" s="1056"/>
      <c r="M222" s="52"/>
      <c r="N222" s="52"/>
      <c r="O222" s="52"/>
      <c r="P222" s="52"/>
    </row>
    <row r="223" spans="2:16" ht="12.75" customHeight="1" x14ac:dyDescent="0.15">
      <c r="B223" s="8" t="s">
        <v>1458</v>
      </c>
      <c r="C223" s="8"/>
      <c r="D223" s="8"/>
      <c r="E223" s="844"/>
      <c r="F223" s="36"/>
      <c r="G223" s="104"/>
      <c r="I223" s="52"/>
      <c r="J223" s="52"/>
      <c r="K223" s="52"/>
      <c r="L223" s="1056"/>
      <c r="M223" s="52"/>
      <c r="N223" s="52"/>
      <c r="O223" s="52"/>
      <c r="P223" s="52"/>
    </row>
    <row r="224" spans="2:16" ht="12.75" customHeight="1" x14ac:dyDescent="0.15">
      <c r="B224" s="8" t="s">
        <v>1173</v>
      </c>
      <c r="C224" s="8"/>
      <c r="D224" s="8"/>
      <c r="E224" s="844"/>
      <c r="F224" s="411">
        <v>180000</v>
      </c>
      <c r="G224" s="38">
        <v>0.9</v>
      </c>
      <c r="H224" s="1077"/>
      <c r="I224" s="52"/>
      <c r="J224" s="52"/>
      <c r="K224" s="52"/>
      <c r="L224" s="1056"/>
      <c r="M224" s="52"/>
      <c r="N224" s="52"/>
      <c r="O224" s="52"/>
      <c r="P224" s="52"/>
    </row>
    <row r="225" spans="2:16" x14ac:dyDescent="0.15">
      <c r="B225" s="8" t="s">
        <v>1174</v>
      </c>
      <c r="C225" s="8"/>
      <c r="D225" s="8"/>
      <c r="E225" s="844"/>
      <c r="F225" s="410">
        <v>179.54999999999998</v>
      </c>
      <c r="G225" s="38">
        <v>0.9</v>
      </c>
      <c r="I225" s="52"/>
      <c r="J225" s="52"/>
      <c r="K225" s="52"/>
      <c r="L225" s="1056"/>
      <c r="M225" s="52"/>
      <c r="N225" s="52"/>
      <c r="O225" s="52"/>
      <c r="P225" s="52"/>
    </row>
    <row r="226" spans="2:16" ht="14" x14ac:dyDescent="0.2">
      <c r="B226" s="8" t="s">
        <v>1175</v>
      </c>
      <c r="C226" s="8"/>
      <c r="D226" s="8"/>
      <c r="E226" s="844"/>
      <c r="F226" s="411">
        <v>3700</v>
      </c>
      <c r="G226" s="38">
        <v>0.95</v>
      </c>
      <c r="I226" s="52"/>
      <c r="J226" s="52"/>
      <c r="K226" s="52"/>
      <c r="L226" s="1056"/>
      <c r="M226" s="52"/>
      <c r="N226" s="52"/>
      <c r="O226" s="52"/>
      <c r="P226" s="52"/>
    </row>
    <row r="227" spans="2:16" x14ac:dyDescent="0.15">
      <c r="B227" s="8" t="s">
        <v>1176</v>
      </c>
      <c r="C227" s="8"/>
      <c r="D227" s="8"/>
      <c r="E227" s="844"/>
      <c r="F227" s="411">
        <v>1800</v>
      </c>
      <c r="G227" s="38">
        <v>0.95</v>
      </c>
      <c r="I227" s="52"/>
      <c r="J227" s="52"/>
      <c r="K227" s="52"/>
      <c r="L227" s="1056"/>
      <c r="M227" s="52"/>
      <c r="N227" s="52"/>
      <c r="O227" s="52"/>
      <c r="P227" s="52"/>
    </row>
    <row r="228" spans="2:16" x14ac:dyDescent="0.15">
      <c r="E228" s="844"/>
      <c r="I228" s="52"/>
      <c r="J228" s="52"/>
      <c r="K228" s="52"/>
      <c r="L228" s="1056"/>
      <c r="M228" s="52"/>
      <c r="N228" s="52"/>
      <c r="O228" s="52"/>
      <c r="P228" s="52"/>
    </row>
    <row r="229" spans="2:16" ht="14" x14ac:dyDescent="0.15">
      <c r="B229" s="507" t="s">
        <v>1461</v>
      </c>
      <c r="C229" s="8"/>
      <c r="D229" s="8"/>
      <c r="E229" s="844"/>
      <c r="F229" s="36"/>
      <c r="G229" s="104"/>
      <c r="I229" s="52"/>
      <c r="J229" s="52"/>
      <c r="K229" s="52"/>
      <c r="L229" s="1056"/>
      <c r="M229" s="52"/>
      <c r="N229" s="52"/>
      <c r="O229" s="52"/>
      <c r="P229" s="52"/>
    </row>
    <row r="230" spans="2:16" x14ac:dyDescent="0.15">
      <c r="B230" s="8" t="s">
        <v>1458</v>
      </c>
      <c r="C230" s="8"/>
      <c r="D230" s="8"/>
      <c r="E230" s="844"/>
      <c r="F230" s="36"/>
      <c r="G230" s="104"/>
      <c r="I230" s="52"/>
      <c r="J230" s="52"/>
      <c r="K230" s="52"/>
      <c r="L230" s="1056"/>
      <c r="M230" s="52"/>
      <c r="N230" s="52"/>
      <c r="O230" s="52"/>
      <c r="P230" s="52"/>
    </row>
    <row r="231" spans="2:16" x14ac:dyDescent="0.15">
      <c r="B231" s="8" t="s">
        <v>1173</v>
      </c>
      <c r="C231" s="8"/>
      <c r="D231" s="8"/>
      <c r="E231" s="844"/>
      <c r="F231" s="412">
        <v>180000</v>
      </c>
      <c r="G231" s="38">
        <v>0.9</v>
      </c>
      <c r="H231" s="1077"/>
      <c r="I231" s="52"/>
      <c r="J231" s="52"/>
      <c r="K231" s="52"/>
      <c r="L231" s="1056"/>
      <c r="M231" s="52"/>
      <c r="N231" s="52"/>
      <c r="O231" s="52"/>
      <c r="P231" s="52"/>
    </row>
    <row r="232" spans="2:16" x14ac:dyDescent="0.15">
      <c r="B232" s="8" t="s">
        <v>1174</v>
      </c>
      <c r="C232" s="8"/>
      <c r="D232" s="8"/>
      <c r="E232" s="844"/>
      <c r="F232" s="413">
        <v>12.950000000000001</v>
      </c>
      <c r="G232" s="38">
        <v>0.9</v>
      </c>
      <c r="I232" s="52"/>
      <c r="J232" s="52"/>
      <c r="K232" s="52"/>
      <c r="L232" s="1056"/>
      <c r="M232" s="52"/>
      <c r="N232" s="52"/>
      <c r="O232" s="52"/>
      <c r="P232" s="52"/>
    </row>
    <row r="233" spans="2:16" ht="14" x14ac:dyDescent="0.2">
      <c r="B233" s="8" t="s">
        <v>1175</v>
      </c>
      <c r="C233" s="8"/>
      <c r="D233" s="8"/>
      <c r="E233" s="844"/>
      <c r="F233" s="412">
        <v>4600</v>
      </c>
      <c r="G233" s="38">
        <v>0.95</v>
      </c>
      <c r="I233" s="52"/>
      <c r="J233" s="52"/>
      <c r="K233" s="52"/>
      <c r="L233" s="1056"/>
      <c r="M233" s="52"/>
      <c r="N233" s="52"/>
      <c r="O233" s="52"/>
      <c r="P233" s="52"/>
    </row>
    <row r="234" spans="2:16" x14ac:dyDescent="0.15">
      <c r="B234" s="8" t="s">
        <v>1176</v>
      </c>
      <c r="C234" s="8"/>
      <c r="D234" s="8"/>
      <c r="E234" s="844"/>
      <c r="F234" s="412">
        <v>400</v>
      </c>
      <c r="G234" s="38">
        <v>0.95</v>
      </c>
      <c r="I234" s="52"/>
      <c r="J234" s="52"/>
      <c r="K234" s="52"/>
      <c r="L234" s="1056"/>
      <c r="M234" s="52"/>
      <c r="N234" s="52"/>
      <c r="O234" s="52"/>
      <c r="P234" s="52"/>
    </row>
    <row r="235" spans="2:16" x14ac:dyDescent="0.15">
      <c r="B235" s="8"/>
      <c r="C235" s="8"/>
      <c r="D235" s="8"/>
      <c r="E235" s="844"/>
      <c r="F235" s="36"/>
      <c r="G235" s="7"/>
      <c r="I235" s="52"/>
      <c r="J235" s="52"/>
      <c r="K235" s="52"/>
      <c r="L235" s="1056"/>
      <c r="M235" s="52"/>
      <c r="N235" s="52"/>
      <c r="O235" s="52"/>
      <c r="P235" s="52"/>
    </row>
    <row r="236" spans="2:16" ht="14" x14ac:dyDescent="0.15">
      <c r="B236" s="507" t="s">
        <v>1462</v>
      </c>
      <c r="C236" s="8"/>
      <c r="D236" s="8"/>
      <c r="E236" s="844"/>
      <c r="F236" s="36"/>
      <c r="G236" s="104"/>
      <c r="I236" s="52"/>
      <c r="J236" s="52"/>
      <c r="K236" s="52"/>
      <c r="L236" s="1056"/>
      <c r="M236" s="52"/>
      <c r="N236" s="52"/>
      <c r="O236" s="52"/>
      <c r="P236" s="52"/>
    </row>
    <row r="237" spans="2:16" x14ac:dyDescent="0.15">
      <c r="B237" s="8" t="s">
        <v>1458</v>
      </c>
      <c r="C237" s="8"/>
      <c r="D237" s="8"/>
      <c r="E237" s="844"/>
      <c r="F237" s="36"/>
      <c r="G237" s="104"/>
      <c r="I237" s="52"/>
      <c r="J237" s="52"/>
      <c r="K237" s="52"/>
      <c r="L237" s="1056"/>
      <c r="M237" s="52"/>
      <c r="N237" s="52"/>
      <c r="O237" s="52"/>
      <c r="P237" s="52"/>
    </row>
    <row r="238" spans="2:16" x14ac:dyDescent="0.15">
      <c r="B238" s="8" t="s">
        <v>1173</v>
      </c>
      <c r="C238" s="8"/>
      <c r="D238" s="8"/>
      <c r="E238" s="844"/>
      <c r="F238" s="412">
        <v>49000</v>
      </c>
      <c r="G238" s="38">
        <v>0.9</v>
      </c>
      <c r="H238" s="144"/>
      <c r="I238" s="52"/>
      <c r="J238" s="52"/>
      <c r="K238" s="52"/>
      <c r="L238" s="1056"/>
      <c r="M238" s="52"/>
      <c r="N238" s="52"/>
      <c r="O238" s="52"/>
      <c r="P238" s="52"/>
    </row>
    <row r="239" spans="2:16" x14ac:dyDescent="0.15">
      <c r="B239" s="8" t="s">
        <v>1174</v>
      </c>
      <c r="C239" s="8"/>
      <c r="D239" s="8"/>
      <c r="E239" s="844"/>
      <c r="F239" s="413">
        <v>10.45</v>
      </c>
      <c r="G239" s="38">
        <v>0.9</v>
      </c>
      <c r="I239" s="47"/>
      <c r="J239" s="47"/>
      <c r="K239" s="47"/>
      <c r="L239" s="1057"/>
      <c r="M239" s="47"/>
      <c r="N239" s="47"/>
      <c r="O239" s="47"/>
      <c r="P239" s="47"/>
    </row>
    <row r="240" spans="2:16" ht="14" x14ac:dyDescent="0.2">
      <c r="B240" s="8" t="s">
        <v>1175</v>
      </c>
      <c r="C240" s="8"/>
      <c r="D240" s="8"/>
      <c r="E240" s="844"/>
      <c r="F240" s="412">
        <v>4700</v>
      </c>
      <c r="G240" s="38">
        <v>0.95</v>
      </c>
      <c r="I240" s="52"/>
      <c r="J240" s="52"/>
      <c r="K240" s="52"/>
      <c r="L240" s="1056"/>
      <c r="M240" s="52"/>
      <c r="N240" s="52"/>
      <c r="O240" s="52"/>
      <c r="P240" s="52"/>
    </row>
    <row r="241" spans="2:16" x14ac:dyDescent="0.15">
      <c r="B241" s="8" t="s">
        <v>1176</v>
      </c>
      <c r="C241" s="8"/>
      <c r="D241" s="8"/>
      <c r="E241" s="844"/>
      <c r="F241" s="412">
        <v>1000</v>
      </c>
      <c r="G241" s="38">
        <v>0.95</v>
      </c>
      <c r="I241" s="52"/>
      <c r="J241" s="52"/>
      <c r="K241" s="52"/>
      <c r="L241" s="1056"/>
      <c r="M241" s="52"/>
      <c r="N241" s="52"/>
      <c r="O241" s="52"/>
      <c r="P241" s="52"/>
    </row>
    <row r="242" spans="2:16" x14ac:dyDescent="0.15">
      <c r="B242" s="8"/>
      <c r="C242" s="8"/>
      <c r="D242" s="8"/>
      <c r="E242" s="844"/>
      <c r="F242" s="556"/>
      <c r="G242" s="7"/>
      <c r="I242" s="52"/>
      <c r="J242" s="52"/>
      <c r="K242" s="52"/>
      <c r="L242" s="1056"/>
      <c r="M242" s="52"/>
      <c r="N242" s="52"/>
      <c r="O242" s="52"/>
      <c r="P242" s="52"/>
    </row>
    <row r="243" spans="2:16" ht="14" x14ac:dyDescent="0.15">
      <c r="B243" s="507" t="s">
        <v>1463</v>
      </c>
      <c r="C243" s="8"/>
      <c r="D243" s="8"/>
      <c r="E243" s="844"/>
      <c r="F243" s="406"/>
      <c r="G243" s="104"/>
      <c r="I243" s="52"/>
      <c r="J243" s="52"/>
      <c r="K243" s="52"/>
      <c r="L243" s="1056"/>
      <c r="M243" s="52"/>
      <c r="N243" s="52"/>
      <c r="O243" s="52"/>
      <c r="P243" s="52"/>
    </row>
    <row r="244" spans="2:16" x14ac:dyDescent="0.15">
      <c r="B244" s="8" t="s">
        <v>1458</v>
      </c>
      <c r="C244" s="8"/>
      <c r="D244" s="8"/>
      <c r="E244" s="844"/>
      <c r="F244" s="406"/>
      <c r="G244" s="104"/>
      <c r="I244" s="52"/>
      <c r="J244" s="52"/>
      <c r="K244" s="52"/>
      <c r="L244" s="1056"/>
      <c r="M244" s="52"/>
      <c r="N244" s="52"/>
      <c r="O244" s="52"/>
      <c r="P244" s="52"/>
    </row>
    <row r="245" spans="2:16" x14ac:dyDescent="0.15">
      <c r="B245" s="8" t="s">
        <v>1173</v>
      </c>
      <c r="C245" s="8"/>
      <c r="D245" s="8"/>
      <c r="E245" s="844"/>
      <c r="F245" s="412">
        <v>130000</v>
      </c>
      <c r="G245" s="38">
        <v>0.9</v>
      </c>
      <c r="H245" s="1077"/>
      <c r="I245" s="52"/>
      <c r="J245" s="52"/>
      <c r="K245" s="52"/>
      <c r="L245" s="1056"/>
      <c r="M245" s="52"/>
      <c r="N245" s="52"/>
      <c r="O245" s="52"/>
      <c r="P245" s="52"/>
    </row>
    <row r="246" spans="2:16" x14ac:dyDescent="0.15">
      <c r="B246" s="8" t="s">
        <v>1174</v>
      </c>
      <c r="C246" s="8"/>
      <c r="D246" s="8"/>
      <c r="E246" s="844"/>
      <c r="F246" s="413">
        <v>23.75</v>
      </c>
      <c r="G246" s="38">
        <v>0.9</v>
      </c>
      <c r="I246" s="47"/>
      <c r="J246" s="47"/>
      <c r="K246" s="47"/>
      <c r="L246" s="1057"/>
      <c r="M246" s="47"/>
      <c r="N246" s="47"/>
      <c r="O246" s="47"/>
      <c r="P246" s="47"/>
    </row>
    <row r="247" spans="2:16" ht="14" x14ac:dyDescent="0.2">
      <c r="B247" s="8" t="s">
        <v>1175</v>
      </c>
      <c r="C247" s="8"/>
      <c r="D247" s="8"/>
      <c r="E247" s="844"/>
      <c r="F247" s="412">
        <v>11000</v>
      </c>
      <c r="G247" s="38">
        <v>0.95</v>
      </c>
      <c r="I247" s="52"/>
      <c r="J247" s="52"/>
      <c r="K247" s="52"/>
      <c r="L247" s="1056"/>
      <c r="M247" s="52"/>
      <c r="N247" s="52"/>
      <c r="O247" s="52"/>
      <c r="P247" s="52"/>
    </row>
    <row r="248" spans="2:16" x14ac:dyDescent="0.15">
      <c r="B248" s="8" t="s">
        <v>1176</v>
      </c>
      <c r="C248" s="8"/>
      <c r="D248" s="8"/>
      <c r="E248" s="844"/>
      <c r="F248" s="412">
        <v>2400</v>
      </c>
      <c r="G248" s="38">
        <v>0.95</v>
      </c>
      <c r="I248" s="52"/>
      <c r="J248" s="52"/>
      <c r="K248" s="52"/>
      <c r="L248" s="1056"/>
      <c r="M248" s="52"/>
      <c r="N248" s="52"/>
      <c r="O248" s="52"/>
      <c r="P248" s="52"/>
    </row>
    <row r="249" spans="2:16" x14ac:dyDescent="0.15">
      <c r="B249" s="8"/>
      <c r="C249" s="8"/>
      <c r="D249" s="8"/>
      <c r="E249" s="844"/>
      <c r="F249" s="556"/>
      <c r="G249" s="7"/>
      <c r="I249" s="52"/>
      <c r="J249" s="52"/>
      <c r="K249" s="52"/>
      <c r="L249" s="1056"/>
      <c r="M249" s="52"/>
      <c r="N249" s="52"/>
      <c r="O249" s="52"/>
      <c r="P249" s="52"/>
    </row>
    <row r="250" spans="2:16" ht="14" x14ac:dyDescent="0.15">
      <c r="B250" s="507" t="s">
        <v>1464</v>
      </c>
      <c r="E250" s="844"/>
      <c r="F250" s="406"/>
      <c r="I250" s="52"/>
      <c r="J250" s="52"/>
      <c r="K250" s="52"/>
      <c r="L250" s="1056"/>
      <c r="M250" s="52"/>
      <c r="N250" s="52"/>
      <c r="O250" s="52"/>
      <c r="P250" s="52"/>
    </row>
    <row r="251" spans="2:16" x14ac:dyDescent="0.15">
      <c r="B251" s="8" t="s">
        <v>1465</v>
      </c>
      <c r="E251" s="844"/>
      <c r="F251" s="406"/>
      <c r="I251" s="52"/>
      <c r="J251" s="52"/>
      <c r="K251" s="52"/>
      <c r="L251" s="1056"/>
      <c r="M251" s="52"/>
      <c r="N251" s="52"/>
      <c r="O251" s="52"/>
      <c r="P251" s="52"/>
    </row>
    <row r="252" spans="2:16" x14ac:dyDescent="0.15">
      <c r="B252" s="8" t="s">
        <v>1173</v>
      </c>
      <c r="C252" s="8"/>
      <c r="D252" s="8"/>
      <c r="E252" s="844"/>
      <c r="F252" s="412">
        <v>10000</v>
      </c>
      <c r="G252" s="38">
        <v>0</v>
      </c>
      <c r="H252" s="1077"/>
      <c r="I252" s="52"/>
      <c r="J252" s="52"/>
      <c r="K252" s="52"/>
      <c r="L252" s="1056"/>
      <c r="M252" s="52"/>
      <c r="N252" s="52"/>
      <c r="O252" s="52"/>
      <c r="P252" s="52"/>
    </row>
    <row r="253" spans="2:16" x14ac:dyDescent="0.15">
      <c r="B253" s="8" t="s">
        <v>1174</v>
      </c>
      <c r="C253" s="8"/>
      <c r="D253" s="8"/>
      <c r="E253" s="844"/>
      <c r="F253" s="413">
        <v>6.9349999999999996</v>
      </c>
      <c r="G253" s="38">
        <v>0.9</v>
      </c>
      <c r="I253" s="47"/>
      <c r="J253" s="47"/>
      <c r="K253" s="47"/>
      <c r="L253" s="1057"/>
      <c r="M253" s="47"/>
      <c r="N253" s="47"/>
      <c r="O253" s="47"/>
      <c r="P253" s="47"/>
    </row>
    <row r="254" spans="2:16" ht="14" x14ac:dyDescent="0.2">
      <c r="B254" s="8" t="s">
        <v>1175</v>
      </c>
      <c r="C254" s="8"/>
      <c r="D254" s="8"/>
      <c r="E254" s="844"/>
      <c r="F254" s="412">
        <v>700</v>
      </c>
      <c r="G254" s="38">
        <v>0.95</v>
      </c>
      <c r="I254" s="52"/>
      <c r="J254" s="52"/>
      <c r="K254" s="52"/>
      <c r="L254" s="1056"/>
      <c r="M254" s="52"/>
      <c r="N254" s="52"/>
      <c r="O254" s="52"/>
      <c r="P254" s="52"/>
    </row>
    <row r="255" spans="2:16" x14ac:dyDescent="0.15">
      <c r="B255" s="8" t="s">
        <v>1176</v>
      </c>
      <c r="C255" s="8"/>
      <c r="D255" s="8"/>
      <c r="E255" s="844"/>
      <c r="F255" s="412">
        <v>300</v>
      </c>
      <c r="G255" s="38">
        <v>0.95</v>
      </c>
      <c r="I255" s="52"/>
      <c r="J255" s="52"/>
      <c r="K255" s="52"/>
      <c r="L255" s="1056"/>
      <c r="M255" s="52"/>
      <c r="N255" s="52"/>
      <c r="O255" s="52"/>
      <c r="P255" s="52"/>
    </row>
    <row r="256" spans="2:16" x14ac:dyDescent="0.15">
      <c r="B256" s="8"/>
      <c r="C256" s="8"/>
      <c r="D256" s="8"/>
      <c r="E256" s="844"/>
      <c r="F256" s="556"/>
      <c r="G256" s="7"/>
      <c r="I256" s="52"/>
      <c r="J256" s="52"/>
      <c r="K256" s="52"/>
      <c r="L256" s="1056"/>
      <c r="M256" s="52"/>
      <c r="N256" s="52"/>
      <c r="O256" s="52"/>
      <c r="P256" s="52"/>
    </row>
    <row r="257" spans="2:16" ht="16" x14ac:dyDescent="0.2">
      <c r="B257" s="5" t="s">
        <v>1466</v>
      </c>
      <c r="C257" s="26"/>
      <c r="D257" s="26"/>
      <c r="E257" s="844"/>
      <c r="F257" s="406"/>
      <c r="G257" s="104"/>
      <c r="I257" s="52"/>
      <c r="J257" s="52"/>
      <c r="K257" s="52"/>
      <c r="L257" s="1056"/>
      <c r="M257" s="52"/>
      <c r="N257" s="52"/>
      <c r="O257" s="52"/>
      <c r="P257" s="52"/>
    </row>
    <row r="258" spans="2:16" ht="14" x14ac:dyDescent="0.15">
      <c r="B258" s="507" t="s">
        <v>1467</v>
      </c>
      <c r="C258" s="26"/>
      <c r="D258" s="26"/>
      <c r="E258" s="844"/>
      <c r="F258" s="406"/>
      <c r="G258" s="104"/>
      <c r="I258" s="52"/>
      <c r="J258" s="52"/>
      <c r="K258" s="52"/>
      <c r="L258" s="1056"/>
      <c r="M258" s="52"/>
      <c r="N258" s="52"/>
      <c r="O258" s="52"/>
      <c r="P258" s="52"/>
    </row>
    <row r="259" spans="2:16" x14ac:dyDescent="0.15">
      <c r="B259" s="8" t="s">
        <v>1458</v>
      </c>
      <c r="C259" s="8"/>
      <c r="D259" s="8"/>
      <c r="E259" s="844"/>
      <c r="F259" s="406"/>
      <c r="G259" s="104"/>
      <c r="I259" s="52"/>
      <c r="J259" s="52"/>
      <c r="K259" s="52"/>
      <c r="L259" s="1056"/>
      <c r="M259" s="52"/>
      <c r="N259" s="52"/>
      <c r="O259" s="52"/>
      <c r="P259" s="52"/>
    </row>
    <row r="260" spans="2:16" x14ac:dyDescent="0.15">
      <c r="B260" s="8" t="s">
        <v>1459</v>
      </c>
      <c r="C260" s="8"/>
      <c r="D260" s="8"/>
      <c r="E260" s="844"/>
      <c r="F260" s="413">
        <v>68</v>
      </c>
      <c r="G260" s="1012">
        <v>0.3</v>
      </c>
      <c r="I260" s="52"/>
      <c r="J260" s="52"/>
      <c r="K260" s="52"/>
      <c r="L260" s="1056"/>
      <c r="M260" s="52"/>
      <c r="N260" s="52"/>
      <c r="O260" s="52"/>
      <c r="P260" s="52"/>
    </row>
    <row r="261" spans="2:16" x14ac:dyDescent="0.15">
      <c r="B261" s="8" t="s">
        <v>1173</v>
      </c>
      <c r="C261" s="8"/>
      <c r="D261" s="8"/>
      <c r="E261" s="844"/>
      <c r="F261" s="412">
        <v>560000</v>
      </c>
      <c r="G261" s="38">
        <v>0.7</v>
      </c>
      <c r="H261" s="41"/>
      <c r="I261" s="52"/>
      <c r="J261" s="52"/>
      <c r="K261" s="52"/>
      <c r="L261" s="1056"/>
      <c r="M261" s="52"/>
      <c r="N261" s="52"/>
      <c r="O261" s="52"/>
      <c r="P261" s="52"/>
    </row>
    <row r="262" spans="2:16" x14ac:dyDescent="0.15">
      <c r="B262" s="8" t="s">
        <v>1174</v>
      </c>
      <c r="C262" s="8"/>
      <c r="D262" s="8"/>
      <c r="E262" s="844"/>
      <c r="F262" s="413">
        <v>763.6</v>
      </c>
      <c r="G262" s="38">
        <v>0.95</v>
      </c>
      <c r="I262" s="52"/>
      <c r="J262" s="52"/>
      <c r="K262" s="52"/>
      <c r="L262" s="1056"/>
      <c r="M262" s="52"/>
      <c r="N262" s="52"/>
      <c r="O262" s="52"/>
      <c r="P262" s="52"/>
    </row>
    <row r="263" spans="2:16" ht="14" x14ac:dyDescent="0.2">
      <c r="B263" s="8" t="s">
        <v>1175</v>
      </c>
      <c r="C263" s="8"/>
      <c r="D263" s="8"/>
      <c r="E263" s="844"/>
      <c r="F263" s="412">
        <v>110000</v>
      </c>
      <c r="G263" s="38">
        <v>0.95</v>
      </c>
      <c r="I263" s="52"/>
      <c r="J263" s="52"/>
      <c r="K263" s="52"/>
      <c r="L263" s="1056"/>
      <c r="M263" s="52"/>
      <c r="N263" s="52"/>
      <c r="O263" s="52"/>
      <c r="P263" s="52"/>
    </row>
    <row r="264" spans="2:16" x14ac:dyDescent="0.15">
      <c r="B264" s="8" t="s">
        <v>1176</v>
      </c>
      <c r="C264" s="8"/>
      <c r="D264" s="8"/>
      <c r="E264" s="844"/>
      <c r="F264" s="412">
        <v>72000</v>
      </c>
      <c r="G264" s="38">
        <v>1</v>
      </c>
      <c r="I264" s="52"/>
      <c r="J264" s="52"/>
      <c r="K264" s="52"/>
      <c r="L264" s="1056"/>
      <c r="M264" s="52"/>
      <c r="N264" s="52"/>
      <c r="O264" s="52"/>
      <c r="P264" s="52"/>
    </row>
    <row r="265" spans="2:16" x14ac:dyDescent="0.15">
      <c r="B265" s="8"/>
      <c r="C265" s="8"/>
      <c r="D265" s="8"/>
      <c r="E265" s="844"/>
      <c r="F265" s="556"/>
      <c r="G265" s="7"/>
      <c r="I265" s="52"/>
      <c r="J265" s="52"/>
      <c r="K265" s="52"/>
      <c r="L265" s="1056"/>
      <c r="M265" s="52"/>
      <c r="N265" s="52"/>
      <c r="O265" s="52"/>
      <c r="P265" s="52"/>
    </row>
    <row r="266" spans="2:16" ht="16" x14ac:dyDescent="0.2">
      <c r="B266" s="5" t="s">
        <v>1468</v>
      </c>
      <c r="C266" s="26"/>
      <c r="D266" s="26"/>
      <c r="E266" s="844"/>
      <c r="F266" s="406"/>
      <c r="G266" s="121"/>
      <c r="I266" s="52"/>
      <c r="J266" s="52"/>
      <c r="K266" s="52"/>
      <c r="L266" s="1056"/>
      <c r="M266" s="52"/>
      <c r="N266" s="52"/>
      <c r="O266" s="52"/>
      <c r="P266" s="52"/>
    </row>
    <row r="267" spans="2:16" ht="14" x14ac:dyDescent="0.15">
      <c r="B267" s="507" t="s">
        <v>1469</v>
      </c>
      <c r="C267" s="26"/>
      <c r="D267" s="26"/>
      <c r="E267" s="844"/>
      <c r="F267" s="406"/>
      <c r="G267" s="121"/>
      <c r="I267" s="52"/>
      <c r="J267" s="52"/>
      <c r="K267" s="52"/>
      <c r="L267" s="1056"/>
      <c r="M267" s="52"/>
      <c r="N267" s="52"/>
      <c r="O267" s="52"/>
      <c r="P267" s="52"/>
    </row>
    <row r="268" spans="2:16" x14ac:dyDescent="0.15">
      <c r="B268" s="8" t="s">
        <v>1470</v>
      </c>
      <c r="C268" s="8"/>
      <c r="D268" s="8"/>
      <c r="E268" s="844"/>
      <c r="F268" s="406"/>
      <c r="G268" s="121"/>
      <c r="I268" s="52"/>
      <c r="J268" s="52"/>
      <c r="K268" s="52"/>
      <c r="L268" s="1056"/>
      <c r="M268" s="52"/>
      <c r="N268" s="52"/>
      <c r="O268" s="52"/>
      <c r="P268" s="52"/>
    </row>
    <row r="269" spans="2:16" x14ac:dyDescent="0.15">
      <c r="B269" s="8" t="s">
        <v>189</v>
      </c>
      <c r="C269" s="8"/>
      <c r="D269" s="8"/>
      <c r="E269" s="844"/>
      <c r="F269" s="413">
        <v>20</v>
      </c>
      <c r="G269" s="1012">
        <v>0.3</v>
      </c>
      <c r="I269" s="52"/>
      <c r="J269" s="52"/>
      <c r="K269" s="52"/>
      <c r="L269" s="1056"/>
      <c r="M269" s="52"/>
      <c r="N269" s="52"/>
      <c r="O269" s="52"/>
      <c r="P269" s="52"/>
    </row>
    <row r="270" spans="2:16" x14ac:dyDescent="0.15">
      <c r="B270" s="8" t="s">
        <v>1173</v>
      </c>
      <c r="C270" s="8"/>
      <c r="D270" s="8"/>
      <c r="E270" s="844"/>
      <c r="F270" s="833">
        <v>170000</v>
      </c>
      <c r="G270" s="38">
        <v>0.7</v>
      </c>
      <c r="H270" s="41"/>
      <c r="I270" s="52"/>
      <c r="J270" s="52"/>
      <c r="K270" s="52"/>
      <c r="L270" s="1056"/>
      <c r="M270" s="52"/>
      <c r="N270" s="52"/>
      <c r="O270" s="52"/>
      <c r="P270" s="52"/>
    </row>
    <row r="271" spans="2:16" x14ac:dyDescent="0.15">
      <c r="B271" s="8" t="s">
        <v>1174</v>
      </c>
      <c r="C271" s="8"/>
      <c r="D271" s="8"/>
      <c r="E271" s="844"/>
      <c r="F271" s="832">
        <v>101.2</v>
      </c>
      <c r="G271" s="38">
        <v>0.95</v>
      </c>
      <c r="H271" s="144"/>
      <c r="I271" s="47"/>
      <c r="J271" s="47"/>
      <c r="K271" s="47"/>
      <c r="L271" s="1057"/>
      <c r="M271" s="47"/>
      <c r="N271" s="47"/>
      <c r="O271" s="47"/>
      <c r="P271" s="47"/>
    </row>
    <row r="272" spans="2:16" ht="14" x14ac:dyDescent="0.2">
      <c r="B272" s="8" t="s">
        <v>1175</v>
      </c>
      <c r="C272" s="8"/>
      <c r="D272" s="8"/>
      <c r="E272" s="844"/>
      <c r="F272" s="833">
        <v>27000</v>
      </c>
      <c r="G272" s="38">
        <v>0.95</v>
      </c>
      <c r="I272" s="52"/>
      <c r="J272" s="52"/>
      <c r="K272" s="52"/>
      <c r="L272" s="1056"/>
      <c r="M272" s="52"/>
      <c r="N272" s="52"/>
      <c r="O272" s="52"/>
      <c r="P272" s="52"/>
    </row>
    <row r="273" spans="2:16" x14ac:dyDescent="0.15">
      <c r="B273" s="8" t="s">
        <v>1176</v>
      </c>
      <c r="C273" s="8"/>
      <c r="D273" s="8"/>
      <c r="E273" s="844"/>
      <c r="F273" s="833">
        <v>3100</v>
      </c>
      <c r="G273" s="38">
        <v>0.8</v>
      </c>
      <c r="I273" s="52"/>
      <c r="J273" s="52"/>
      <c r="K273" s="52"/>
      <c r="L273" s="1056"/>
      <c r="M273" s="52"/>
      <c r="N273" s="52"/>
      <c r="O273" s="52"/>
      <c r="P273" s="52"/>
    </row>
    <row r="274" spans="2:16" x14ac:dyDescent="0.15">
      <c r="B274" s="8"/>
      <c r="C274" s="8"/>
      <c r="D274" s="8"/>
      <c r="E274" s="844"/>
      <c r="F274" s="556"/>
      <c r="G274" s="7"/>
      <c r="I274" s="52"/>
      <c r="J274" s="52"/>
      <c r="K274" s="52"/>
      <c r="L274" s="1056"/>
      <c r="M274" s="52"/>
      <c r="N274" s="52"/>
      <c r="O274" s="52"/>
      <c r="P274" s="52"/>
    </row>
    <row r="275" spans="2:16" ht="14" x14ac:dyDescent="0.15">
      <c r="B275" s="507" t="s">
        <v>1471</v>
      </c>
      <c r="C275" s="26"/>
      <c r="D275" s="26"/>
      <c r="E275" s="844"/>
      <c r="F275" s="104"/>
      <c r="G275" s="121"/>
      <c r="I275" s="52"/>
      <c r="J275" s="52"/>
      <c r="K275" s="52"/>
      <c r="L275" s="1056"/>
      <c r="M275" s="52"/>
      <c r="N275" s="52"/>
      <c r="O275" s="52"/>
      <c r="P275" s="52"/>
    </row>
    <row r="276" spans="2:16" x14ac:dyDescent="0.15">
      <c r="B276" s="8" t="s">
        <v>1472</v>
      </c>
      <c r="C276" s="8"/>
      <c r="D276" s="8"/>
      <c r="E276" s="844"/>
      <c r="F276" s="104"/>
      <c r="G276" s="121"/>
      <c r="I276" s="52"/>
      <c r="J276" s="52"/>
      <c r="K276" s="52"/>
      <c r="L276" s="1056"/>
      <c r="M276" s="52"/>
      <c r="N276" s="52"/>
      <c r="O276" s="52"/>
      <c r="P276" s="52"/>
    </row>
    <row r="277" spans="2:16" x14ac:dyDescent="0.15">
      <c r="B277" s="8" t="s">
        <v>165</v>
      </c>
      <c r="C277" s="8"/>
      <c r="D277" s="8"/>
      <c r="E277" s="844"/>
      <c r="F277" s="138">
        <v>20</v>
      </c>
      <c r="G277" s="38">
        <v>0.3</v>
      </c>
      <c r="I277" s="52"/>
      <c r="J277" s="52"/>
      <c r="K277" s="52"/>
      <c r="L277" s="1056"/>
      <c r="M277" s="52"/>
      <c r="N277" s="52"/>
      <c r="O277" s="52"/>
      <c r="P277" s="52"/>
    </row>
    <row r="278" spans="2:16" x14ac:dyDescent="0.15">
      <c r="B278" s="8" t="s">
        <v>1173</v>
      </c>
      <c r="C278" s="8"/>
      <c r="D278" s="8"/>
      <c r="E278" s="844"/>
      <c r="F278" s="138">
        <v>170000</v>
      </c>
      <c r="G278" s="38">
        <v>0.7</v>
      </c>
      <c r="H278" s="1077"/>
      <c r="I278" s="52"/>
      <c r="J278" s="52"/>
      <c r="K278" s="52"/>
      <c r="L278" s="1056"/>
      <c r="M278" s="52"/>
      <c r="N278" s="52"/>
      <c r="O278" s="52"/>
      <c r="P278" s="52"/>
    </row>
    <row r="279" spans="2:16" x14ac:dyDescent="0.15">
      <c r="B279" s="8" t="s">
        <v>1174</v>
      </c>
      <c r="C279" s="8"/>
      <c r="D279" s="8"/>
      <c r="E279" s="844"/>
      <c r="F279" s="405">
        <v>86.48</v>
      </c>
      <c r="G279" s="38">
        <v>0.95</v>
      </c>
      <c r="I279" s="47"/>
      <c r="J279" s="47"/>
      <c r="K279" s="47"/>
      <c r="L279" s="1057"/>
      <c r="M279" s="47"/>
      <c r="N279" s="47"/>
      <c r="O279" s="47"/>
      <c r="P279" s="47"/>
    </row>
    <row r="280" spans="2:16" ht="15" customHeight="1" x14ac:dyDescent="0.2">
      <c r="B280" s="8" t="s">
        <v>1175</v>
      </c>
      <c r="C280" s="8"/>
      <c r="D280" s="8"/>
      <c r="E280" s="844"/>
      <c r="F280" s="138">
        <v>27000</v>
      </c>
      <c r="G280" s="38">
        <v>0.95</v>
      </c>
      <c r="I280" s="52"/>
      <c r="J280" s="52"/>
      <c r="K280" s="52"/>
      <c r="L280" s="1056"/>
      <c r="M280" s="52"/>
      <c r="N280" s="52"/>
      <c r="O280" s="52"/>
      <c r="P280" s="52"/>
    </row>
    <row r="281" spans="2:16" ht="15" customHeight="1" x14ac:dyDescent="0.15">
      <c r="B281" s="8" t="s">
        <v>1176</v>
      </c>
      <c r="C281" s="8"/>
      <c r="D281" s="8"/>
      <c r="E281" s="844"/>
      <c r="F281" s="138">
        <v>2700</v>
      </c>
      <c r="G281" s="38">
        <v>0.8</v>
      </c>
      <c r="I281" s="52"/>
      <c r="J281" s="52"/>
      <c r="K281" s="52"/>
      <c r="L281" s="1056"/>
      <c r="M281" s="52"/>
      <c r="N281" s="52"/>
      <c r="O281" s="52"/>
      <c r="P281" s="52"/>
    </row>
    <row r="282" spans="2:16" ht="15" customHeight="1" x14ac:dyDescent="0.15">
      <c r="B282" s="8"/>
      <c r="C282" s="8"/>
      <c r="D282" s="8"/>
      <c r="E282" s="844"/>
      <c r="I282" s="52"/>
      <c r="J282" s="52"/>
      <c r="K282" s="52"/>
      <c r="L282" s="1056"/>
      <c r="M282" s="52"/>
      <c r="N282" s="52"/>
      <c r="O282" s="52"/>
      <c r="P282" s="52"/>
    </row>
    <row r="283" spans="2:16" ht="15" customHeight="1" x14ac:dyDescent="0.2">
      <c r="B283" s="5" t="s">
        <v>1473</v>
      </c>
      <c r="C283" s="26"/>
      <c r="D283" s="26"/>
      <c r="E283" s="844"/>
      <c r="G283" s="104"/>
      <c r="I283" s="52"/>
      <c r="J283" s="52"/>
      <c r="K283" s="52"/>
      <c r="L283" s="1056"/>
      <c r="M283" s="52"/>
      <c r="N283" s="52"/>
      <c r="O283" s="52"/>
      <c r="P283" s="52"/>
    </row>
    <row r="284" spans="2:16" ht="15" customHeight="1" x14ac:dyDescent="0.15">
      <c r="B284" s="507" t="s">
        <v>1474</v>
      </c>
      <c r="C284" s="26"/>
      <c r="D284" s="26"/>
      <c r="E284" s="844"/>
      <c r="G284" s="104"/>
      <c r="I284" s="52"/>
      <c r="J284" s="52"/>
      <c r="K284" s="52"/>
      <c r="L284" s="1056"/>
      <c r="M284" s="52"/>
      <c r="N284" s="52"/>
      <c r="O284" s="52"/>
      <c r="P284" s="52"/>
    </row>
    <row r="285" spans="2:16" ht="15" customHeight="1" x14ac:dyDescent="0.15">
      <c r="B285" s="8" t="s">
        <v>1475</v>
      </c>
      <c r="D285" s="8"/>
      <c r="E285" s="844"/>
      <c r="F285" s="10"/>
      <c r="G285" s="104"/>
      <c r="I285" s="52"/>
      <c r="J285" s="52"/>
      <c r="K285" s="52"/>
      <c r="L285" s="1056"/>
      <c r="M285" s="52"/>
      <c r="N285" s="52"/>
      <c r="O285" s="52"/>
      <c r="P285" s="52"/>
    </row>
    <row r="286" spans="2:16" ht="15" customHeight="1" x14ac:dyDescent="0.15">
      <c r="B286" s="8" t="s">
        <v>1173</v>
      </c>
      <c r="D286" s="8"/>
      <c r="E286" s="844"/>
      <c r="F286" s="835">
        <v>13000</v>
      </c>
      <c r="G286" s="38">
        <v>0.7</v>
      </c>
      <c r="H286" s="1077"/>
      <c r="I286" s="52"/>
      <c r="J286" s="52"/>
      <c r="K286" s="52"/>
      <c r="L286" s="1056"/>
      <c r="M286" s="52"/>
      <c r="N286" s="52"/>
      <c r="O286" s="52"/>
      <c r="P286" s="52"/>
    </row>
    <row r="287" spans="2:16" ht="15" customHeight="1" x14ac:dyDescent="0.15">
      <c r="B287" s="8" t="s">
        <v>1174</v>
      </c>
      <c r="D287" s="8"/>
      <c r="E287" s="844"/>
      <c r="F287" s="834">
        <v>170</v>
      </c>
      <c r="G287" s="38">
        <v>0.95</v>
      </c>
      <c r="I287" s="52"/>
      <c r="J287" s="52"/>
      <c r="K287" s="52"/>
      <c r="L287" s="1056"/>
      <c r="M287" s="52"/>
      <c r="N287" s="52"/>
      <c r="O287" s="52"/>
      <c r="P287" s="47"/>
    </row>
    <row r="288" spans="2:16" ht="15" customHeight="1" x14ac:dyDescent="0.2">
      <c r="B288" s="8" t="s">
        <v>1175</v>
      </c>
      <c r="D288" s="8"/>
      <c r="E288" s="844"/>
      <c r="F288" s="835">
        <v>10000</v>
      </c>
      <c r="G288" s="38">
        <v>0.95</v>
      </c>
      <c r="I288" s="52"/>
      <c r="J288" s="52"/>
      <c r="K288" s="52"/>
      <c r="L288" s="1056"/>
      <c r="M288" s="52"/>
      <c r="N288" s="52"/>
      <c r="O288" s="52"/>
      <c r="P288" s="52"/>
    </row>
    <row r="289" spans="2:16" ht="15" customHeight="1" x14ac:dyDescent="0.15">
      <c r="B289" s="8" t="s">
        <v>1176</v>
      </c>
      <c r="D289" s="8"/>
      <c r="E289" s="844"/>
      <c r="F289" s="835">
        <v>7700</v>
      </c>
      <c r="G289" s="38">
        <v>1</v>
      </c>
      <c r="I289" s="52"/>
      <c r="J289" s="52"/>
      <c r="K289" s="52"/>
      <c r="L289" s="1056"/>
      <c r="M289" s="52"/>
      <c r="N289" s="52"/>
      <c r="O289" s="52"/>
      <c r="P289" s="52"/>
    </row>
    <row r="290" spans="2:16" ht="15" customHeight="1" x14ac:dyDescent="0.15">
      <c r="B290" s="8"/>
      <c r="D290" s="8"/>
      <c r="E290" s="844"/>
      <c r="F290" s="1125"/>
      <c r="G290" s="7"/>
      <c r="I290" s="52"/>
      <c r="J290" s="52"/>
      <c r="K290" s="52"/>
      <c r="L290" s="1056"/>
      <c r="M290" s="52"/>
      <c r="N290" s="52"/>
      <c r="O290" s="52"/>
    </row>
    <row r="291" spans="2:16" ht="15" customHeight="1" x14ac:dyDescent="0.2">
      <c r="B291" s="5" t="s">
        <v>1215</v>
      </c>
      <c r="D291" s="8"/>
      <c r="E291" s="844"/>
      <c r="I291" s="52"/>
      <c r="J291" s="52"/>
      <c r="K291" s="52"/>
      <c r="L291" s="1056"/>
      <c r="M291" s="52"/>
      <c r="N291" s="52"/>
      <c r="O291" s="52"/>
      <c r="P291" s="52"/>
    </row>
    <row r="292" spans="2:16" ht="14" x14ac:dyDescent="0.15">
      <c r="B292" s="507" t="s">
        <v>1476</v>
      </c>
      <c r="C292" s="8"/>
      <c r="D292" s="8"/>
      <c r="E292" s="844"/>
      <c r="F292" s="110"/>
      <c r="G292" s="56"/>
      <c r="I292" s="52"/>
      <c r="J292" s="52"/>
      <c r="K292" s="52"/>
      <c r="L292" s="1056"/>
      <c r="M292" s="52"/>
      <c r="N292" s="52"/>
      <c r="O292" s="52"/>
      <c r="P292" s="52"/>
    </row>
    <row r="293" spans="2:16" x14ac:dyDescent="0.15">
      <c r="B293" s="8" t="s">
        <v>1477</v>
      </c>
      <c r="C293" s="8"/>
      <c r="D293" s="8"/>
      <c r="E293" s="844"/>
      <c r="F293" s="110"/>
      <c r="G293" s="7"/>
      <c r="I293" s="52"/>
      <c r="J293" s="52"/>
      <c r="K293" s="52"/>
      <c r="L293" s="1056"/>
      <c r="M293" s="52"/>
      <c r="N293" s="52"/>
      <c r="O293" s="52"/>
      <c r="P293" s="52"/>
    </row>
    <row r="294" spans="2:16" x14ac:dyDescent="0.15">
      <c r="B294" s="8" t="s">
        <v>1173</v>
      </c>
      <c r="C294" s="8"/>
      <c r="D294" s="8"/>
      <c r="E294" s="844"/>
      <c r="F294" s="142">
        <v>14000</v>
      </c>
      <c r="G294" s="748">
        <v>0.7</v>
      </c>
      <c r="H294" s="144"/>
      <c r="I294" s="52"/>
      <c r="J294" s="52"/>
      <c r="K294" s="52"/>
      <c r="L294" s="1056"/>
      <c r="M294" s="52"/>
      <c r="N294" s="52"/>
      <c r="O294" s="52"/>
      <c r="P294" s="52"/>
    </row>
    <row r="295" spans="2:16" x14ac:dyDescent="0.15">
      <c r="B295" s="8" t="s">
        <v>1174</v>
      </c>
      <c r="C295" s="26"/>
      <c r="D295" s="8"/>
      <c r="E295" s="844"/>
      <c r="F295" s="403">
        <v>24.65</v>
      </c>
      <c r="G295" s="748">
        <v>0.95</v>
      </c>
      <c r="H295" s="144"/>
      <c r="I295" s="47"/>
      <c r="J295" s="47"/>
      <c r="K295" s="47"/>
      <c r="L295" s="1057"/>
      <c r="M295" s="47"/>
      <c r="N295" s="47"/>
      <c r="O295" s="47"/>
      <c r="P295" s="47"/>
    </row>
    <row r="296" spans="2:16" ht="14" x14ac:dyDescent="0.2">
      <c r="B296" s="8" t="s">
        <v>1175</v>
      </c>
      <c r="C296" s="8"/>
      <c r="D296" s="8"/>
      <c r="E296" s="844"/>
      <c r="F296" s="142">
        <v>900</v>
      </c>
      <c r="G296" s="748">
        <v>0.95</v>
      </c>
      <c r="H296" s="144"/>
      <c r="I296" s="52"/>
      <c r="J296" s="52"/>
      <c r="K296" s="52"/>
      <c r="L296" s="1056"/>
      <c r="M296" s="52"/>
      <c r="N296" s="52"/>
      <c r="O296" s="52"/>
      <c r="P296" s="52"/>
    </row>
    <row r="297" spans="2:16" x14ac:dyDescent="0.15">
      <c r="B297" s="8" t="s">
        <v>1176</v>
      </c>
      <c r="D297" s="8"/>
      <c r="E297" s="844"/>
      <c r="F297" s="835">
        <v>800</v>
      </c>
      <c r="G297" s="38">
        <v>0.7</v>
      </c>
      <c r="I297" s="52"/>
      <c r="J297" s="52"/>
      <c r="K297" s="52"/>
      <c r="L297" s="1056"/>
      <c r="M297" s="52"/>
      <c r="N297" s="52"/>
      <c r="O297" s="52"/>
      <c r="P297" s="52"/>
    </row>
    <row r="298" spans="2:16" x14ac:dyDescent="0.15">
      <c r="B298" s="8"/>
      <c r="C298" s="8"/>
      <c r="D298" s="8"/>
      <c r="E298" s="844"/>
      <c r="F298" s="125"/>
      <c r="G298" s="7"/>
      <c r="I298" s="52"/>
      <c r="J298" s="52"/>
      <c r="K298" s="52"/>
      <c r="L298" s="1056"/>
      <c r="M298" s="52"/>
      <c r="N298" s="52"/>
      <c r="O298" s="52"/>
      <c r="P298" s="52"/>
    </row>
    <row r="299" spans="2:16" ht="14" x14ac:dyDescent="0.15">
      <c r="B299" s="507" t="s">
        <v>1478</v>
      </c>
      <c r="C299" s="26"/>
      <c r="D299" s="26"/>
      <c r="E299" s="844"/>
      <c r="F299" s="104"/>
      <c r="G299" s="7"/>
      <c r="I299" s="52"/>
      <c r="J299" s="52"/>
      <c r="K299" s="52"/>
      <c r="L299" s="1056"/>
      <c r="M299" s="52"/>
      <c r="N299" s="52"/>
      <c r="O299" s="52"/>
      <c r="P299" s="52"/>
    </row>
    <row r="300" spans="2:16" x14ac:dyDescent="0.15">
      <c r="B300" s="8" t="s">
        <v>1458</v>
      </c>
      <c r="C300" s="8"/>
      <c r="D300" s="8"/>
      <c r="E300" s="844"/>
      <c r="F300" s="104"/>
      <c r="G300" s="7"/>
      <c r="I300" s="52"/>
      <c r="J300" s="52"/>
      <c r="K300" s="52"/>
      <c r="L300" s="1056"/>
      <c r="M300" s="52"/>
      <c r="N300" s="52"/>
      <c r="O300" s="52"/>
      <c r="P300" s="52"/>
    </row>
    <row r="301" spans="2:16" x14ac:dyDescent="0.15">
      <c r="B301" s="8" t="s">
        <v>1173</v>
      </c>
      <c r="C301" s="8"/>
      <c r="D301" s="8"/>
      <c r="E301" s="844"/>
      <c r="F301" s="138">
        <v>38000</v>
      </c>
      <c r="G301" s="38">
        <v>0.7</v>
      </c>
      <c r="H301" s="1077"/>
      <c r="I301" s="52"/>
      <c r="J301" s="52"/>
      <c r="K301" s="52"/>
      <c r="L301" s="1056"/>
      <c r="M301" s="52"/>
      <c r="N301" s="52"/>
      <c r="O301" s="52"/>
      <c r="P301" s="52"/>
    </row>
    <row r="302" spans="2:16" x14ac:dyDescent="0.15">
      <c r="B302" s="8" t="s">
        <v>1174</v>
      </c>
      <c r="C302" s="8"/>
      <c r="D302" s="8"/>
      <c r="E302" s="844"/>
      <c r="F302" s="405">
        <v>7.9050000000000002</v>
      </c>
      <c r="G302" s="38">
        <v>0.9</v>
      </c>
      <c r="I302" s="47"/>
      <c r="J302" s="47"/>
      <c r="K302" s="47"/>
      <c r="L302" s="1057"/>
      <c r="M302" s="47"/>
      <c r="N302" s="47"/>
      <c r="O302" s="47"/>
      <c r="P302" s="47"/>
    </row>
    <row r="303" spans="2:16" ht="14" x14ac:dyDescent="0.2">
      <c r="B303" s="8" t="s">
        <v>1175</v>
      </c>
      <c r="C303" s="8"/>
      <c r="D303" s="8"/>
      <c r="E303" s="844"/>
      <c r="F303" s="138">
        <v>3300</v>
      </c>
      <c r="G303" s="38">
        <v>0.95</v>
      </c>
      <c r="I303" s="52"/>
      <c r="J303" s="52"/>
      <c r="K303" s="52"/>
      <c r="L303" s="1056"/>
      <c r="M303" s="52"/>
      <c r="N303" s="52"/>
      <c r="O303" s="52"/>
      <c r="P303" s="52"/>
    </row>
    <row r="304" spans="2:16" x14ac:dyDescent="0.15">
      <c r="B304" s="8" t="s">
        <v>1176</v>
      </c>
      <c r="C304" s="8"/>
      <c r="D304" s="8"/>
      <c r="E304" s="844"/>
      <c r="F304" s="138">
        <v>3400</v>
      </c>
      <c r="G304" s="38">
        <v>1</v>
      </c>
      <c r="I304" s="52"/>
      <c r="J304" s="52"/>
      <c r="K304" s="52"/>
      <c r="L304" s="1056"/>
      <c r="M304" s="52"/>
      <c r="N304" s="52"/>
      <c r="O304" s="52"/>
      <c r="P304" s="52"/>
    </row>
    <row r="305" spans="2:16" x14ac:dyDescent="0.15">
      <c r="E305" s="844"/>
      <c r="I305" s="52"/>
      <c r="J305" s="52"/>
      <c r="K305" s="52"/>
      <c r="L305" s="1056"/>
      <c r="M305" s="52"/>
      <c r="N305" s="52"/>
      <c r="O305" s="52"/>
      <c r="P305" s="52"/>
    </row>
    <row r="306" spans="2:16" ht="14" x14ac:dyDescent="0.15">
      <c r="B306" s="507" t="s">
        <v>1479</v>
      </c>
      <c r="E306" s="844"/>
      <c r="F306" s="104"/>
      <c r="I306" s="52"/>
      <c r="J306" s="52"/>
      <c r="K306" s="52"/>
      <c r="L306" s="1056"/>
      <c r="M306" s="52"/>
      <c r="N306" s="52"/>
      <c r="O306" s="52"/>
      <c r="P306" s="52"/>
    </row>
    <row r="307" spans="2:16" x14ac:dyDescent="0.15">
      <c r="B307" s="8" t="s">
        <v>1475</v>
      </c>
      <c r="C307" s="8"/>
      <c r="D307" s="8"/>
      <c r="E307" s="844"/>
      <c r="F307" s="104"/>
      <c r="G307" s="104"/>
      <c r="I307" s="52"/>
      <c r="J307" s="52"/>
      <c r="K307" s="52"/>
      <c r="L307" s="1056"/>
      <c r="M307" s="52"/>
      <c r="N307" s="52"/>
      <c r="O307" s="52"/>
      <c r="P307" s="52"/>
    </row>
    <row r="308" spans="2:16" x14ac:dyDescent="0.15">
      <c r="B308" s="8" t="s">
        <v>1173</v>
      </c>
      <c r="C308" s="8"/>
      <c r="D308" s="8"/>
      <c r="E308" s="844"/>
      <c r="F308" s="138">
        <v>48000</v>
      </c>
      <c r="G308" s="38">
        <v>0.7</v>
      </c>
      <c r="H308" s="1077"/>
      <c r="I308" s="52"/>
      <c r="J308" s="52"/>
      <c r="K308" s="52"/>
      <c r="L308" s="1056"/>
      <c r="M308" s="52"/>
      <c r="N308" s="52"/>
      <c r="O308" s="52"/>
      <c r="P308" s="52"/>
    </row>
    <row r="309" spans="2:16" x14ac:dyDescent="0.15">
      <c r="B309" s="8" t="s">
        <v>1174</v>
      </c>
      <c r="C309" s="8"/>
      <c r="D309" s="8"/>
      <c r="E309" s="844"/>
      <c r="F309" s="405">
        <v>13.6</v>
      </c>
      <c r="G309" s="38">
        <v>0.95</v>
      </c>
      <c r="I309" s="47"/>
      <c r="J309" s="47"/>
      <c r="K309" s="47"/>
      <c r="L309" s="1057"/>
      <c r="M309" s="47"/>
      <c r="N309" s="47"/>
      <c r="O309" s="47"/>
      <c r="P309" s="47"/>
    </row>
    <row r="310" spans="2:16" ht="14" x14ac:dyDescent="0.2">
      <c r="B310" s="8" t="s">
        <v>1175</v>
      </c>
      <c r="C310" s="8"/>
      <c r="D310" s="8"/>
      <c r="E310" s="844"/>
      <c r="F310" s="138">
        <v>1300</v>
      </c>
      <c r="G310" s="38">
        <v>0.95</v>
      </c>
      <c r="I310" s="52"/>
      <c r="J310" s="52"/>
      <c r="K310" s="52"/>
      <c r="L310" s="1056"/>
      <c r="M310" s="52"/>
      <c r="N310" s="52"/>
      <c r="O310" s="52"/>
      <c r="P310" s="52"/>
    </row>
    <row r="311" spans="2:16" x14ac:dyDescent="0.15">
      <c r="B311" s="8" t="s">
        <v>1176</v>
      </c>
      <c r="C311" s="8"/>
      <c r="D311" s="8"/>
      <c r="E311" s="844"/>
      <c r="F311" s="138">
        <v>20</v>
      </c>
      <c r="G311" s="38">
        <v>1</v>
      </c>
      <c r="I311" s="52"/>
      <c r="J311" s="52"/>
      <c r="K311" s="52"/>
      <c r="L311" s="1056"/>
      <c r="M311" s="52"/>
      <c r="N311" s="52"/>
      <c r="O311" s="52"/>
      <c r="P311" s="52"/>
    </row>
    <row r="312" spans="2:16" x14ac:dyDescent="0.15">
      <c r="E312" s="844"/>
    </row>
    <row r="313" spans="2:16" ht="15" customHeight="1" x14ac:dyDescent="0.15">
      <c r="B313" s="507" t="s">
        <v>1480</v>
      </c>
      <c r="C313" s="26"/>
      <c r="D313" s="26"/>
      <c r="E313" s="844"/>
      <c r="F313" s="104"/>
      <c r="G313" s="7"/>
      <c r="I313" s="52"/>
      <c r="J313" s="52"/>
      <c r="K313" s="52"/>
      <c r="L313" s="1056"/>
      <c r="M313" s="52"/>
      <c r="N313" s="52"/>
      <c r="O313" s="52"/>
      <c r="P313" s="52"/>
    </row>
    <row r="314" spans="2:16" ht="15" customHeight="1" x14ac:dyDescent="0.15">
      <c r="B314" s="225" t="s">
        <v>1481</v>
      </c>
      <c r="C314" s="26"/>
      <c r="D314" s="26"/>
      <c r="E314" s="844"/>
      <c r="F314" s="104"/>
      <c r="G314" s="7"/>
      <c r="I314" s="52"/>
      <c r="J314" s="52"/>
      <c r="K314" s="52"/>
      <c r="L314" s="1056"/>
      <c r="M314" s="52"/>
      <c r="N314" s="52"/>
      <c r="O314" s="52"/>
      <c r="P314" s="52"/>
    </row>
    <row r="315" spans="2:16" ht="15" customHeight="1" x14ac:dyDescent="0.15">
      <c r="B315" s="8" t="s">
        <v>1482</v>
      </c>
      <c r="C315" s="26"/>
      <c r="D315" s="26"/>
      <c r="E315" s="844"/>
      <c r="F315" s="104"/>
      <c r="G315" s="7"/>
      <c r="I315" s="52"/>
      <c r="J315" s="52"/>
      <c r="K315" s="52"/>
      <c r="L315" s="1056"/>
      <c r="M315" s="52"/>
      <c r="N315" s="52"/>
      <c r="O315" s="52"/>
      <c r="P315" s="52"/>
    </row>
    <row r="316" spans="2:16" ht="15" customHeight="1" x14ac:dyDescent="0.15">
      <c r="B316" s="8" t="s">
        <v>1173</v>
      </c>
      <c r="C316" s="26"/>
      <c r="D316" s="26"/>
      <c r="E316" s="844"/>
      <c r="F316" s="138">
        <v>0</v>
      </c>
      <c r="G316" s="138">
        <v>0</v>
      </c>
      <c r="I316" s="52"/>
      <c r="J316" s="52"/>
      <c r="K316" s="52"/>
      <c r="L316" s="1056"/>
      <c r="M316" s="52"/>
      <c r="N316" s="52"/>
      <c r="O316" s="52"/>
      <c r="P316" s="52"/>
    </row>
    <row r="317" spans="2:16" ht="15" customHeight="1" x14ac:dyDescent="0.15">
      <c r="B317" s="8" t="s">
        <v>1174</v>
      </c>
      <c r="C317" s="26"/>
      <c r="D317" s="26"/>
      <c r="E317" s="844"/>
      <c r="F317" s="138">
        <v>450.5</v>
      </c>
      <c r="G317" s="106">
        <v>0.95</v>
      </c>
      <c r="I317" s="52"/>
      <c r="J317" s="52"/>
      <c r="K317" s="52"/>
      <c r="L317" s="1056"/>
      <c r="M317" s="52"/>
      <c r="N317" s="52"/>
      <c r="O317" s="52"/>
      <c r="P317" s="52"/>
    </row>
    <row r="318" spans="2:16" ht="15" customHeight="1" x14ac:dyDescent="0.15">
      <c r="B318" s="8" t="s">
        <v>1196</v>
      </c>
      <c r="C318" s="26"/>
      <c r="D318" s="26"/>
      <c r="E318" s="844"/>
      <c r="F318" s="138">
        <v>0</v>
      </c>
      <c r="G318" s="138">
        <v>0</v>
      </c>
      <c r="I318" s="52"/>
      <c r="J318" s="52"/>
      <c r="K318" s="52"/>
      <c r="L318" s="1056"/>
      <c r="M318" s="52"/>
      <c r="N318" s="52"/>
      <c r="O318" s="52"/>
      <c r="P318" s="52"/>
    </row>
    <row r="319" spans="2:16" ht="15" customHeight="1" x14ac:dyDescent="0.15">
      <c r="B319" s="8" t="s">
        <v>1176</v>
      </c>
      <c r="C319" s="26"/>
      <c r="D319" s="26"/>
      <c r="E319" s="844"/>
      <c r="F319" s="138">
        <v>29000</v>
      </c>
      <c r="G319" s="106">
        <v>0.95</v>
      </c>
      <c r="I319" s="52"/>
      <c r="J319" s="52"/>
      <c r="K319" s="52"/>
      <c r="L319" s="1056"/>
      <c r="M319" s="52"/>
      <c r="N319" s="52"/>
      <c r="O319" s="52"/>
      <c r="P319" s="52"/>
    </row>
    <row r="320" spans="2:16" ht="15" customHeight="1" x14ac:dyDescent="0.15">
      <c r="B320" s="225"/>
      <c r="C320" s="26"/>
      <c r="D320" s="26"/>
      <c r="E320" s="844"/>
      <c r="F320" s="104"/>
      <c r="G320" s="7"/>
      <c r="I320" s="52"/>
      <c r="J320" s="52"/>
      <c r="K320" s="52"/>
      <c r="L320" s="1056"/>
      <c r="M320" s="52"/>
      <c r="N320" s="52"/>
      <c r="O320" s="52"/>
      <c r="P320" s="52"/>
    </row>
    <row r="321" spans="2:16" ht="15" customHeight="1" x14ac:dyDescent="0.15">
      <c r="B321" s="225" t="s">
        <v>649</v>
      </c>
      <c r="C321" s="26"/>
      <c r="D321" s="26"/>
      <c r="E321" s="844"/>
      <c r="F321" s="104"/>
      <c r="G321" s="7"/>
      <c r="I321" s="52"/>
      <c r="J321" s="52"/>
      <c r="K321" s="52"/>
      <c r="L321" s="1056"/>
      <c r="M321" s="52"/>
      <c r="N321" s="52"/>
      <c r="O321" s="52"/>
      <c r="P321" s="52"/>
    </row>
    <row r="322" spans="2:16" ht="15" customHeight="1" x14ac:dyDescent="0.15">
      <c r="B322" s="8" t="s">
        <v>1483</v>
      </c>
      <c r="C322" s="26"/>
      <c r="D322" s="26"/>
      <c r="E322" s="844"/>
      <c r="F322" s="104"/>
      <c r="G322" s="7"/>
      <c r="I322" s="52"/>
      <c r="J322" s="52"/>
      <c r="K322" s="52"/>
      <c r="L322" s="1056"/>
      <c r="M322" s="52"/>
      <c r="N322" s="52"/>
      <c r="O322" s="52"/>
      <c r="P322" s="52"/>
    </row>
    <row r="323" spans="2:16" ht="15" customHeight="1" x14ac:dyDescent="0.15">
      <c r="B323" s="8" t="s">
        <v>1484</v>
      </c>
      <c r="C323" s="26"/>
      <c r="D323" s="26"/>
      <c r="E323" s="844"/>
      <c r="F323" s="125">
        <f>F133+F140+F149+F150+F158+F159+F167+F174+F182+F189+F197+F204+F212+F220+F227+F234+F241+F248+F255+F264+F289+F297+F304+F311+F319+F334+F273+F281</f>
        <v>221072.86458333331</v>
      </c>
      <c r="G323" s="7"/>
      <c r="I323" s="52"/>
      <c r="J323" s="52"/>
      <c r="K323" s="52"/>
      <c r="L323" s="1056"/>
      <c r="M323" s="52"/>
      <c r="N323" s="52"/>
      <c r="O323" s="52"/>
      <c r="P323" s="52"/>
    </row>
    <row r="324" spans="2:16" ht="15" customHeight="1" x14ac:dyDescent="0.15">
      <c r="B324" s="8" t="s">
        <v>1173</v>
      </c>
      <c r="C324" s="26"/>
      <c r="D324" s="26"/>
      <c r="E324" s="844"/>
      <c r="F324" s="138">
        <v>0</v>
      </c>
      <c r="G324" s="138">
        <v>0</v>
      </c>
      <c r="I324" s="52"/>
      <c r="J324" s="52"/>
      <c r="K324" s="52"/>
      <c r="L324" s="1056"/>
      <c r="M324" s="52"/>
      <c r="N324" s="52"/>
      <c r="O324" s="52"/>
      <c r="P324" s="52"/>
    </row>
    <row r="325" spans="2:16" ht="15" customHeight="1" x14ac:dyDescent="0.15">
      <c r="B325" s="8" t="s">
        <v>1174</v>
      </c>
      <c r="C325" s="26"/>
      <c r="D325" s="26"/>
      <c r="E325" s="844"/>
      <c r="F325" s="138">
        <v>510</v>
      </c>
      <c r="G325" s="106">
        <v>0.95</v>
      </c>
      <c r="I325" s="52"/>
      <c r="J325" s="52"/>
      <c r="K325" s="52"/>
      <c r="L325" s="1056"/>
      <c r="M325" s="52"/>
      <c r="N325" s="52"/>
      <c r="O325" s="52"/>
      <c r="P325" s="52"/>
    </row>
    <row r="326" spans="2:16" ht="15" customHeight="1" x14ac:dyDescent="0.2">
      <c r="B326" s="8" t="s">
        <v>1175</v>
      </c>
      <c r="C326" s="26"/>
      <c r="D326" s="26"/>
      <c r="E326" s="844"/>
      <c r="F326" s="138">
        <v>0</v>
      </c>
      <c r="G326" s="138">
        <v>0</v>
      </c>
      <c r="I326" s="52"/>
      <c r="J326" s="52"/>
      <c r="K326" s="52"/>
      <c r="L326" s="1056"/>
      <c r="M326" s="52"/>
      <c r="N326" s="52"/>
      <c r="O326" s="52"/>
      <c r="P326" s="52"/>
    </row>
    <row r="327" spans="2:16" ht="15" customHeight="1" x14ac:dyDescent="0.15">
      <c r="B327" s="8" t="s">
        <v>1176</v>
      </c>
      <c r="C327" s="26"/>
      <c r="D327" s="26"/>
      <c r="E327" s="844"/>
      <c r="F327" s="138">
        <v>29000</v>
      </c>
      <c r="G327" s="106">
        <v>0.95</v>
      </c>
      <c r="I327" s="52"/>
      <c r="J327" s="52"/>
      <c r="K327" s="52"/>
      <c r="L327" s="1056"/>
      <c r="M327" s="52"/>
      <c r="N327" s="52"/>
      <c r="O327" s="52"/>
      <c r="P327" s="52"/>
    </row>
    <row r="328" spans="2:16" ht="15" customHeight="1" x14ac:dyDescent="0.15">
      <c r="B328" s="225"/>
      <c r="C328" s="26"/>
      <c r="D328" s="26"/>
      <c r="E328" s="844"/>
      <c r="F328" s="104"/>
      <c r="G328" s="7"/>
      <c r="I328" s="52"/>
      <c r="J328" s="52"/>
      <c r="K328" s="52"/>
      <c r="L328" s="1056"/>
      <c r="M328" s="52"/>
      <c r="N328" s="52"/>
      <c r="O328" s="52"/>
      <c r="P328" s="52"/>
    </row>
    <row r="329" spans="2:16" ht="15" customHeight="1" x14ac:dyDescent="0.15">
      <c r="B329" s="225" t="s">
        <v>1485</v>
      </c>
      <c r="C329" s="26"/>
      <c r="D329" s="26"/>
      <c r="E329" s="844"/>
      <c r="F329" s="104"/>
      <c r="G329" s="7"/>
      <c r="I329" s="52"/>
      <c r="J329" s="52"/>
      <c r="K329" s="52"/>
      <c r="L329" s="1056"/>
      <c r="M329" s="52"/>
      <c r="N329" s="52"/>
      <c r="O329" s="52"/>
      <c r="P329" s="52"/>
    </row>
    <row r="330" spans="2:16" ht="15" customHeight="1" x14ac:dyDescent="0.15">
      <c r="B330" s="8" t="s">
        <v>1475</v>
      </c>
      <c r="C330" s="8"/>
      <c r="D330" s="8"/>
      <c r="E330" s="844"/>
      <c r="F330" s="104"/>
      <c r="G330" s="7"/>
      <c r="I330" s="52"/>
      <c r="J330" s="52"/>
      <c r="K330" s="52"/>
      <c r="L330" s="1056"/>
      <c r="M330" s="52"/>
      <c r="N330" s="52"/>
      <c r="O330" s="52"/>
      <c r="P330" s="52"/>
    </row>
    <row r="331" spans="2:16" ht="15" customHeight="1" x14ac:dyDescent="0.15">
      <c r="B331" s="8" t="s">
        <v>1173</v>
      </c>
      <c r="C331" s="8"/>
      <c r="D331" s="8"/>
      <c r="E331" s="844"/>
      <c r="F331" s="138">
        <v>0</v>
      </c>
      <c r="G331" s="138">
        <v>0</v>
      </c>
      <c r="I331" s="52"/>
      <c r="J331" s="52"/>
      <c r="K331" s="52"/>
      <c r="L331" s="1056"/>
      <c r="M331" s="52"/>
      <c r="N331" s="52"/>
      <c r="O331" s="52"/>
      <c r="P331" s="52"/>
    </row>
    <row r="332" spans="2:16" ht="15" customHeight="1" x14ac:dyDescent="0.15">
      <c r="B332" s="8" t="s">
        <v>1174</v>
      </c>
      <c r="C332" s="8"/>
      <c r="D332" s="8"/>
      <c r="E332" s="844"/>
      <c r="F332" s="138">
        <v>467.5</v>
      </c>
      <c r="G332" s="106">
        <v>0.95</v>
      </c>
      <c r="I332" s="52"/>
      <c r="J332" s="52"/>
      <c r="K332" s="52"/>
      <c r="L332" s="1056"/>
      <c r="M332" s="52"/>
      <c r="N332" s="52"/>
      <c r="O332" s="52"/>
      <c r="P332" s="52"/>
    </row>
    <row r="333" spans="2:16" ht="15" customHeight="1" x14ac:dyDescent="0.2">
      <c r="B333" s="8" t="s">
        <v>1175</v>
      </c>
      <c r="C333" s="8"/>
      <c r="D333" s="8"/>
      <c r="E333" s="844"/>
      <c r="F333" s="138">
        <v>0</v>
      </c>
      <c r="G333" s="138">
        <v>0</v>
      </c>
      <c r="I333" s="52"/>
      <c r="J333" s="52"/>
      <c r="K333" s="52"/>
      <c r="L333" s="1056"/>
      <c r="M333" s="52"/>
      <c r="N333" s="52"/>
      <c r="O333" s="52"/>
      <c r="P333" s="52"/>
    </row>
    <row r="334" spans="2:16" ht="15" customHeight="1" x14ac:dyDescent="0.15">
      <c r="B334" s="8" t="s">
        <v>1176</v>
      </c>
      <c r="C334" s="8"/>
      <c r="D334" s="8"/>
      <c r="E334" s="844"/>
      <c r="F334" s="138">
        <v>27000</v>
      </c>
      <c r="G334" s="106">
        <v>0.95</v>
      </c>
      <c r="I334" s="52"/>
      <c r="J334" s="52"/>
      <c r="K334" s="52"/>
      <c r="L334" s="1056"/>
      <c r="M334" s="52"/>
      <c r="N334" s="52"/>
      <c r="O334" s="52"/>
      <c r="P334" s="52"/>
    </row>
    <row r="335" spans="2:16" x14ac:dyDescent="0.15">
      <c r="B335" s="8"/>
      <c r="C335" s="8"/>
      <c r="D335" s="8"/>
      <c r="E335" s="844"/>
      <c r="F335" s="125"/>
      <c r="G335" s="7"/>
      <c r="I335" s="52"/>
      <c r="J335" s="52"/>
      <c r="K335" s="52"/>
      <c r="L335" s="1056"/>
      <c r="M335" s="52"/>
      <c r="N335" s="52"/>
      <c r="O335" s="52"/>
      <c r="P335" s="52"/>
    </row>
    <row r="336" spans="2:16" ht="16" x14ac:dyDescent="0.2">
      <c r="B336" s="5" t="s">
        <v>1486</v>
      </c>
      <c r="E336" s="844"/>
      <c r="F336" s="8" t="s">
        <v>1100</v>
      </c>
      <c r="G336" s="8"/>
      <c r="H336" s="133"/>
      <c r="I336" s="8"/>
      <c r="J336" s="8"/>
      <c r="K336" s="8"/>
      <c r="L336" s="88"/>
      <c r="M336" s="8"/>
      <c r="N336" s="8"/>
      <c r="O336" s="8"/>
    </row>
    <row r="337" spans="2:15" x14ac:dyDescent="0.15">
      <c r="B337" s="8" t="s">
        <v>1487</v>
      </c>
      <c r="C337" s="8"/>
      <c r="D337" s="8"/>
      <c r="E337" s="844"/>
      <c r="F337" s="749">
        <v>320</v>
      </c>
      <c r="H337" s="329"/>
      <c r="L337" s="88"/>
      <c r="N337" s="1064"/>
    </row>
    <row r="338" spans="2:15" x14ac:dyDescent="0.15">
      <c r="B338" s="8" t="s">
        <v>1488</v>
      </c>
      <c r="C338" s="8"/>
      <c r="D338" s="8"/>
      <c r="E338" s="844"/>
      <c r="F338" s="749">
        <v>3</v>
      </c>
      <c r="H338" s="329"/>
      <c r="L338" s="88"/>
      <c r="N338" s="556"/>
    </row>
    <row r="339" spans="2:15" x14ac:dyDescent="0.15">
      <c r="B339" t="s">
        <v>1489</v>
      </c>
      <c r="C339" s="8"/>
      <c r="D339" s="8"/>
      <c r="E339" s="844"/>
      <c r="F339" s="749">
        <v>960</v>
      </c>
      <c r="H339" s="329"/>
      <c r="L339" s="88"/>
      <c r="N339" s="1064"/>
    </row>
    <row r="340" spans="2:15" x14ac:dyDescent="0.15">
      <c r="B340" s="8" t="s">
        <v>1490</v>
      </c>
      <c r="C340" s="8"/>
      <c r="D340" s="8"/>
      <c r="E340" s="844"/>
      <c r="F340" s="749">
        <v>49999999.999999985</v>
      </c>
      <c r="G340" s="329"/>
      <c r="H340" s="329"/>
      <c r="I340" s="329"/>
      <c r="J340" s="329"/>
      <c r="K340" s="329"/>
      <c r="L340" s="1065"/>
      <c r="M340" s="329"/>
      <c r="N340" s="329"/>
      <c r="O340" s="329"/>
    </row>
    <row r="341" spans="2:15" x14ac:dyDescent="0.15">
      <c r="B341" s="8" t="s">
        <v>1046</v>
      </c>
      <c r="C341" s="8"/>
      <c r="D341" s="8"/>
      <c r="E341" s="844"/>
      <c r="F341" s="749">
        <v>500000</v>
      </c>
      <c r="G341" s="329"/>
      <c r="H341" s="329"/>
      <c r="I341" s="329"/>
      <c r="J341" s="329"/>
      <c r="K341" s="329"/>
      <c r="L341" s="1065"/>
      <c r="M341" s="329"/>
      <c r="N341" s="329"/>
      <c r="O341" s="329"/>
    </row>
    <row r="342" spans="2:15" x14ac:dyDescent="0.15">
      <c r="B342" s="8" t="s">
        <v>1047</v>
      </c>
      <c r="C342" s="8"/>
      <c r="D342" s="8"/>
      <c r="E342" s="844"/>
      <c r="F342" s="749">
        <v>2000000</v>
      </c>
      <c r="G342" s="329"/>
      <c r="H342" s="329"/>
      <c r="I342" s="329"/>
      <c r="J342" s="329"/>
      <c r="K342" s="329"/>
      <c r="L342" s="1065"/>
      <c r="M342" s="329"/>
      <c r="N342" s="329"/>
      <c r="O342" s="329"/>
    </row>
    <row r="343" spans="2:15" x14ac:dyDescent="0.15">
      <c r="B343" s="8" t="s">
        <v>1048</v>
      </c>
      <c r="E343" s="844"/>
      <c r="F343" s="749">
        <v>10000000</v>
      </c>
      <c r="G343" s="329"/>
      <c r="H343" s="329"/>
      <c r="I343" s="329"/>
      <c r="J343" s="329"/>
      <c r="K343" s="329"/>
      <c r="L343" s="1065"/>
      <c r="M343" s="329"/>
      <c r="N343" s="329"/>
      <c r="O343" s="329"/>
    </row>
    <row r="344" spans="2:15" x14ac:dyDescent="0.15">
      <c r="B344" s="159" t="s">
        <v>1049</v>
      </c>
      <c r="C344" s="8"/>
      <c r="E344" s="844"/>
      <c r="F344" s="749">
        <v>270000000</v>
      </c>
      <c r="G344" s="329"/>
      <c r="J344" s="329"/>
      <c r="K344" s="329"/>
      <c r="L344" s="1065"/>
      <c r="M344" s="329"/>
      <c r="N344" s="329"/>
      <c r="O344" s="329"/>
    </row>
    <row r="345" spans="2:15" x14ac:dyDescent="0.15">
      <c r="B345" s="8" t="s">
        <v>1050</v>
      </c>
      <c r="C345" s="329"/>
      <c r="E345" s="844"/>
      <c r="F345" s="749">
        <v>50000000</v>
      </c>
      <c r="G345" s="329"/>
      <c r="H345" s="329"/>
      <c r="I345" s="329"/>
      <c r="J345" s="329"/>
      <c r="K345" s="329"/>
      <c r="L345" s="1065"/>
      <c r="M345" s="329"/>
      <c r="N345" s="329"/>
      <c r="O345" s="329"/>
    </row>
    <row r="346" spans="2:15" x14ac:dyDescent="0.15">
      <c r="B346" s="8" t="s">
        <v>1051</v>
      </c>
      <c r="C346" s="8"/>
      <c r="D346" s="8"/>
      <c r="E346" s="844"/>
      <c r="F346" s="749">
        <v>200000000</v>
      </c>
      <c r="G346" s="329"/>
      <c r="H346" s="329"/>
      <c r="I346" s="329"/>
      <c r="J346" s="329"/>
      <c r="K346" s="329"/>
      <c r="L346" s="1065"/>
      <c r="M346" s="329"/>
      <c r="N346" s="329"/>
      <c r="O346" s="329"/>
    </row>
    <row r="347" spans="2:15" x14ac:dyDescent="0.15">
      <c r="B347" s="8" t="s">
        <v>1052</v>
      </c>
      <c r="C347" s="8"/>
      <c r="D347" s="8"/>
      <c r="E347" s="844"/>
      <c r="F347" s="749">
        <v>211000000</v>
      </c>
      <c r="G347" s="329"/>
      <c r="H347" s="329"/>
      <c r="I347" s="329"/>
      <c r="J347" s="329"/>
      <c r="K347" s="329"/>
      <c r="L347" s="1065"/>
      <c r="M347" s="329"/>
      <c r="N347" s="329"/>
      <c r="O347" s="329"/>
    </row>
    <row r="348" spans="2:15" x14ac:dyDescent="0.15">
      <c r="B348" s="8" t="s">
        <v>1053</v>
      </c>
      <c r="C348" s="8"/>
      <c r="D348" s="8"/>
      <c r="E348" s="844"/>
      <c r="F348" s="749">
        <v>303000000</v>
      </c>
      <c r="G348" s="329"/>
      <c r="H348" s="329"/>
      <c r="I348" s="329"/>
      <c r="J348" s="329"/>
      <c r="K348" s="329"/>
      <c r="L348" s="1065"/>
      <c r="M348" s="329"/>
      <c r="N348" s="329"/>
      <c r="O348" s="329"/>
    </row>
    <row r="349" spans="2:15" x14ac:dyDescent="0.15">
      <c r="B349" s="8" t="s">
        <v>1054</v>
      </c>
      <c r="C349" s="8"/>
      <c r="D349" s="8"/>
      <c r="E349" s="844"/>
      <c r="F349" s="749">
        <v>315000000</v>
      </c>
      <c r="G349" s="329"/>
      <c r="H349" s="329"/>
      <c r="I349" s="329"/>
      <c r="J349" s="329"/>
      <c r="K349" s="329"/>
      <c r="L349" s="1065"/>
      <c r="M349" s="329"/>
      <c r="N349" s="329"/>
      <c r="O349" s="329"/>
    </row>
    <row r="350" spans="2:15" x14ac:dyDescent="0.15">
      <c r="B350" s="8" t="s">
        <v>1055</v>
      </c>
      <c r="C350" s="8"/>
      <c r="D350" s="8"/>
      <c r="E350" s="844"/>
      <c r="F350" s="749">
        <v>40700000</v>
      </c>
      <c r="G350" s="329"/>
      <c r="H350" s="329"/>
      <c r="I350" s="329"/>
      <c r="J350" s="329"/>
      <c r="K350" s="329"/>
      <c r="L350" s="1065"/>
      <c r="M350" s="329"/>
      <c r="N350" s="329"/>
      <c r="O350" s="329"/>
    </row>
    <row r="351" spans="2:15" x14ac:dyDescent="0.15">
      <c r="B351" s="8" t="s">
        <v>1056</v>
      </c>
      <c r="C351" s="8"/>
      <c r="D351" s="8"/>
      <c r="E351" s="844"/>
      <c r="F351" s="749">
        <v>65000000</v>
      </c>
      <c r="G351" s="329"/>
      <c r="H351" s="329"/>
      <c r="I351" s="329"/>
      <c r="J351" s="329"/>
      <c r="K351" s="329"/>
      <c r="L351" s="1065"/>
      <c r="M351" s="329"/>
      <c r="N351" s="329"/>
      <c r="O351" s="329"/>
    </row>
    <row r="352" spans="2:15" x14ac:dyDescent="0.15">
      <c r="B352" s="8" t="s">
        <v>1057</v>
      </c>
      <c r="C352" s="8"/>
      <c r="D352" s="8"/>
      <c r="E352" s="844"/>
      <c r="F352" s="749">
        <v>24200000</v>
      </c>
      <c r="G352" s="1063"/>
      <c r="H352" s="329"/>
      <c r="I352" s="329"/>
      <c r="J352" s="329"/>
      <c r="K352" s="329"/>
      <c r="L352" s="1065"/>
      <c r="M352" s="329"/>
      <c r="N352" s="329"/>
      <c r="O352" s="329"/>
    </row>
    <row r="353" spans="2:15" x14ac:dyDescent="0.15">
      <c r="B353" s="8" t="s">
        <v>1058</v>
      </c>
      <c r="C353" s="8"/>
      <c r="D353" s="8"/>
      <c r="E353" s="844"/>
      <c r="F353" s="749">
        <v>42200000</v>
      </c>
      <c r="G353" s="329"/>
      <c r="H353" s="329"/>
      <c r="I353" s="329"/>
      <c r="J353" s="329"/>
      <c r="K353" s="329"/>
      <c r="L353" s="1065"/>
      <c r="M353" s="329"/>
      <c r="N353" s="329"/>
      <c r="O353" s="329"/>
    </row>
    <row r="354" spans="2:15" x14ac:dyDescent="0.15">
      <c r="B354" s="8" t="s">
        <v>1491</v>
      </c>
      <c r="C354" s="8"/>
      <c r="D354" s="8"/>
      <c r="E354" s="8"/>
      <c r="F354" s="142">
        <v>47400</v>
      </c>
      <c r="G354" s="329"/>
      <c r="M354" s="8"/>
      <c r="N354" s="556"/>
    </row>
    <row r="355" spans="2:15" x14ac:dyDescent="0.15">
      <c r="F355" s="8"/>
      <c r="M355" s="8"/>
      <c r="N355" s="125"/>
    </row>
    <row r="356" spans="2:15" x14ac:dyDescent="0.15">
      <c r="F356" s="8"/>
      <c r="M356" s="8"/>
      <c r="N356" s="1059"/>
    </row>
    <row r="357" spans="2:15" x14ac:dyDescent="0.15">
      <c r="F357" s="8"/>
      <c r="N357" s="125"/>
    </row>
    <row r="358" spans="2:15" x14ac:dyDescent="0.15">
      <c r="D358" s="115"/>
      <c r="E358" s="105"/>
      <c r="F358" s="8"/>
      <c r="N358" s="125"/>
    </row>
    <row r="359" spans="2:15" x14ac:dyDescent="0.15">
      <c r="H359" s="8"/>
      <c r="N359" s="125"/>
    </row>
    <row r="360" spans="2:15" x14ac:dyDescent="0.15">
      <c r="N360" s="125"/>
    </row>
    <row r="361" spans="2:15" x14ac:dyDescent="0.15">
      <c r="N361" s="1059"/>
    </row>
    <row r="362" spans="2:15" x14ac:dyDescent="0.15">
      <c r="N362" s="125"/>
    </row>
    <row r="363" spans="2:15" x14ac:dyDescent="0.15">
      <c r="H363" s="41"/>
    </row>
    <row r="364" spans="2:15" x14ac:dyDescent="0.15">
      <c r="F364" s="8"/>
      <c r="H364" s="41"/>
    </row>
    <row r="365" spans="2:15" x14ac:dyDescent="0.15">
      <c r="F365" s="8"/>
      <c r="H365" s="41"/>
    </row>
    <row r="366" spans="2:15" x14ac:dyDescent="0.15">
      <c r="H366" s="41"/>
    </row>
    <row r="367" spans="2:15" x14ac:dyDescent="0.15">
      <c r="H367" s="41"/>
    </row>
    <row r="368" spans="2:15" x14ac:dyDescent="0.15">
      <c r="H368" s="41"/>
    </row>
    <row r="369" spans="5:8" x14ac:dyDescent="0.15">
      <c r="H369" s="41"/>
    </row>
    <row r="370" spans="5:8" x14ac:dyDescent="0.15">
      <c r="H370" s="41"/>
    </row>
    <row r="371" spans="5:8" x14ac:dyDescent="0.15">
      <c r="H371" s="41"/>
    </row>
    <row r="372" spans="5:8" x14ac:dyDescent="0.15">
      <c r="H372" s="41"/>
    </row>
    <row r="373" spans="5:8" x14ac:dyDescent="0.15">
      <c r="H373" s="41"/>
    </row>
    <row r="374" spans="5:8" x14ac:dyDescent="0.15">
      <c r="H374" s="41"/>
    </row>
    <row r="375" spans="5:8" x14ac:dyDescent="0.15">
      <c r="H375" s="41"/>
    </row>
    <row r="376" spans="5:8" x14ac:dyDescent="0.15">
      <c r="E376" s="105"/>
    </row>
    <row r="377" spans="5:8" x14ac:dyDescent="0.15">
      <c r="E377" s="105"/>
    </row>
    <row r="418" spans="7:7" x14ac:dyDescent="0.15">
      <c r="G418" s="37"/>
    </row>
  </sheetData>
  <mergeCells count="14">
    <mergeCell ref="B78:M78"/>
    <mergeCell ref="B123:M123"/>
    <mergeCell ref="F42:G42"/>
    <mergeCell ref="B2:M2"/>
    <mergeCell ref="B3:M3"/>
    <mergeCell ref="B4:E4"/>
    <mergeCell ref="G4:M4"/>
    <mergeCell ref="B5:E5"/>
    <mergeCell ref="G5:M5"/>
    <mergeCell ref="B1:M1"/>
    <mergeCell ref="B21:M21"/>
    <mergeCell ref="B7:M7"/>
    <mergeCell ref="B41:M41"/>
    <mergeCell ref="N1:O1"/>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64"/>
  <sheetViews>
    <sheetView workbookViewId="0">
      <pane ySplit="6" topLeftCell="A7" activePane="bottomLeft" state="frozen"/>
      <selection pane="bottomLeft" activeCell="B6" sqref="B6"/>
    </sheetView>
  </sheetViews>
  <sheetFormatPr baseColWidth="10" defaultColWidth="8.5" defaultRowHeight="13" x14ac:dyDescent="0.15"/>
  <cols>
    <col min="1" max="1" width="3" customWidth="1"/>
    <col min="2" max="2" width="36.5" customWidth="1"/>
    <col min="6" max="6" width="22.5" customWidth="1"/>
    <col min="7" max="7" width="13" customWidth="1"/>
    <col min="8" max="12" width="10.5" customWidth="1"/>
    <col min="13" max="13" width="11.1640625" bestFit="1" customWidth="1"/>
    <col min="14" max="15" width="17.5" bestFit="1" customWidth="1"/>
  </cols>
  <sheetData>
    <row r="1" spans="2:15" ht="19" thickBot="1" x14ac:dyDescent="0.25">
      <c r="B1" s="1344" t="s">
        <v>1492</v>
      </c>
      <c r="C1" s="1344"/>
      <c r="D1" s="1344"/>
      <c r="E1" s="1344"/>
      <c r="F1" s="1344"/>
      <c r="G1" s="1344"/>
      <c r="H1" s="1344"/>
      <c r="I1" s="1344"/>
      <c r="J1" s="1344"/>
      <c r="K1" s="1344"/>
      <c r="L1" s="1344"/>
      <c r="M1" s="1344"/>
      <c r="N1" s="1260" t="s">
        <v>9</v>
      </c>
      <c r="O1" s="1261"/>
    </row>
    <row r="2" spans="2:15" ht="17" thickBot="1" x14ac:dyDescent="0.25">
      <c r="B2" s="1270" t="str">
        <f>Dashboard!B2</f>
        <v>EV with NMC532-G (Power) Electrodes</v>
      </c>
      <c r="C2" s="1271"/>
      <c r="D2" s="1271"/>
      <c r="E2" s="1271"/>
      <c r="F2" s="1271"/>
      <c r="G2" s="1271"/>
      <c r="H2" s="1271"/>
      <c r="I2" s="1271"/>
      <c r="J2" s="1271"/>
      <c r="K2" s="1271"/>
      <c r="L2" s="1271"/>
      <c r="M2" s="1272"/>
      <c r="N2" s="987" t="s">
        <v>8</v>
      </c>
      <c r="O2" s="988" t="s">
        <v>10</v>
      </c>
    </row>
    <row r="3" spans="2:15" ht="16" x14ac:dyDescent="0.2">
      <c r="B3" s="1291" t="s">
        <v>132</v>
      </c>
      <c r="C3" s="1318"/>
      <c r="D3" s="1318"/>
      <c r="E3" s="1318"/>
      <c r="F3" s="1318"/>
      <c r="G3" s="1318"/>
      <c r="H3" s="1318"/>
      <c r="I3" s="1318"/>
      <c r="J3" s="1318"/>
      <c r="K3" s="1318"/>
      <c r="L3" s="1318"/>
      <c r="M3" s="1319"/>
      <c r="N3" s="989" t="s">
        <v>15</v>
      </c>
      <c r="O3" s="988" t="s">
        <v>16</v>
      </c>
    </row>
    <row r="4" spans="2:15" x14ac:dyDescent="0.15">
      <c r="B4" s="1293" t="s">
        <v>298</v>
      </c>
      <c r="C4" s="1320"/>
      <c r="D4" s="1320"/>
      <c r="E4" s="1321"/>
      <c r="F4" s="180"/>
      <c r="G4" s="1294" t="s">
        <v>12</v>
      </c>
      <c r="H4" s="1325"/>
      <c r="I4" s="1325"/>
      <c r="J4" s="1325"/>
      <c r="K4" s="1325"/>
      <c r="L4" s="1325"/>
      <c r="M4" s="1326"/>
      <c r="N4" s="986" t="s">
        <v>17</v>
      </c>
      <c r="O4" s="988" t="s">
        <v>18</v>
      </c>
    </row>
    <row r="5" spans="2:15" ht="14" thickBot="1" x14ac:dyDescent="0.2">
      <c r="B5" s="1296" t="s">
        <v>13</v>
      </c>
      <c r="C5" s="1329"/>
      <c r="D5" s="1329"/>
      <c r="E5" s="1330"/>
      <c r="F5" s="185"/>
      <c r="G5" s="1297" t="s">
        <v>14</v>
      </c>
      <c r="H5" s="1327"/>
      <c r="I5" s="1327"/>
      <c r="J5" s="1327"/>
      <c r="K5" s="1327"/>
      <c r="L5" s="1327"/>
      <c r="M5" s="1328"/>
      <c r="N5" s="986" t="s">
        <v>20</v>
      </c>
      <c r="O5" s="992" t="s">
        <v>21</v>
      </c>
    </row>
    <row r="6" spans="2:15" ht="17" thickBot="1" x14ac:dyDescent="0.25">
      <c r="B6" s="26"/>
      <c r="C6" s="26"/>
      <c r="D6" s="26"/>
      <c r="E6" s="26"/>
      <c r="F6" s="26"/>
      <c r="G6" s="123" t="s">
        <v>56</v>
      </c>
      <c r="H6" s="123" t="s">
        <v>57</v>
      </c>
      <c r="I6" s="123" t="s">
        <v>58</v>
      </c>
      <c r="J6" s="123" t="s">
        <v>59</v>
      </c>
      <c r="K6" s="123" t="s">
        <v>60</v>
      </c>
      <c r="L6" s="123" t="s">
        <v>61</v>
      </c>
      <c r="M6" s="123" t="s">
        <v>62</v>
      </c>
      <c r="N6" s="990" t="s">
        <v>25</v>
      </c>
      <c r="O6" s="991" t="s">
        <v>26</v>
      </c>
    </row>
    <row r="7" spans="2:15" ht="16" x14ac:dyDescent="0.2">
      <c r="B7" s="5" t="s">
        <v>1064</v>
      </c>
      <c r="C7" s="26"/>
      <c r="D7" s="26"/>
      <c r="E7" s="26"/>
      <c r="F7" s="26"/>
      <c r="G7" s="1214"/>
      <c r="H7" s="1214"/>
      <c r="I7" s="1214"/>
      <c r="J7" s="1214"/>
      <c r="K7" s="1214"/>
      <c r="L7" s="1214"/>
      <c r="M7" s="1214"/>
    </row>
    <row r="8" spans="2:15" x14ac:dyDescent="0.15">
      <c r="B8" t="s">
        <v>164</v>
      </c>
      <c r="C8" s="26"/>
      <c r="D8" s="26"/>
      <c r="E8" s="26"/>
      <c r="F8" s="26"/>
      <c r="G8" s="45">
        <f>'Battery Design'!G31</f>
        <v>400</v>
      </c>
      <c r="H8" s="45">
        <f>'Battery Design'!H31</f>
        <v>400</v>
      </c>
      <c r="I8" s="45">
        <f>'Battery Design'!I31</f>
        <v>400</v>
      </c>
      <c r="J8" s="45">
        <f>'Battery Design'!J31</f>
        <v>400</v>
      </c>
      <c r="K8" s="45">
        <f>'Battery Design'!K31</f>
        <v>400</v>
      </c>
      <c r="L8" s="45">
        <f>'Battery Design'!L31</f>
        <v>400</v>
      </c>
      <c r="M8" s="45">
        <f>'Battery Design'!M31</f>
        <v>400</v>
      </c>
    </row>
    <row r="9" spans="2:15" x14ac:dyDescent="0.15">
      <c r="B9" t="s">
        <v>165</v>
      </c>
      <c r="C9" s="26"/>
      <c r="D9" s="26"/>
      <c r="E9" s="26"/>
      <c r="F9" s="26"/>
      <c r="G9" s="2">
        <f>'Battery Design'!G29</f>
        <v>20</v>
      </c>
      <c r="H9" s="2">
        <f>'Battery Design'!H29</f>
        <v>20</v>
      </c>
      <c r="I9" s="2">
        <f>'Battery Design'!I29</f>
        <v>20</v>
      </c>
      <c r="J9" s="2">
        <f>'Battery Design'!J29</f>
        <v>20</v>
      </c>
      <c r="K9" s="2">
        <f>'Battery Design'!K29</f>
        <v>20</v>
      </c>
      <c r="L9" s="2">
        <f>'Battery Design'!L29</f>
        <v>20</v>
      </c>
      <c r="M9" s="2">
        <f>'Battery Design'!M29</f>
        <v>20</v>
      </c>
    </row>
    <row r="10" spans="2:15" x14ac:dyDescent="0.15">
      <c r="B10" s="8" t="s">
        <v>1065</v>
      </c>
      <c r="C10" s="8"/>
      <c r="D10" s="8"/>
      <c r="E10" s="8"/>
      <c r="F10" s="150"/>
      <c r="G10" s="11">
        <f>'Battery Design'!G$12</f>
        <v>1</v>
      </c>
      <c r="H10" s="11">
        <f>'Battery Design'!H$12</f>
        <v>1</v>
      </c>
      <c r="I10" s="11">
        <f>'Battery Design'!I$12</f>
        <v>1</v>
      </c>
      <c r="J10" s="11">
        <f>'Battery Design'!J$12</f>
        <v>1</v>
      </c>
      <c r="K10" s="11">
        <f>'Battery Design'!K$12</f>
        <v>1</v>
      </c>
      <c r="L10" s="11">
        <f>'Battery Design'!L$12</f>
        <v>1</v>
      </c>
      <c r="M10" s="11">
        <f>'Battery Design'!M$12</f>
        <v>1</v>
      </c>
    </row>
    <row r="11" spans="2:15" ht="14" thickBot="1" x14ac:dyDescent="0.2">
      <c r="C11" s="26"/>
      <c r="D11" s="26"/>
      <c r="E11" s="26"/>
      <c r="F11" s="26"/>
      <c r="G11" s="3"/>
      <c r="H11" s="3"/>
      <c r="I11" s="3"/>
      <c r="J11" s="3"/>
      <c r="K11" s="3"/>
      <c r="L11" s="3"/>
      <c r="M11" s="3"/>
    </row>
    <row r="12" spans="2:15" ht="21" thickBot="1" x14ac:dyDescent="0.25">
      <c r="B12" s="1262" t="s">
        <v>1273</v>
      </c>
      <c r="C12" s="1263"/>
      <c r="D12" s="1263"/>
      <c r="E12" s="1263"/>
      <c r="F12" s="1263"/>
      <c r="G12" s="1263"/>
      <c r="H12" s="1263"/>
      <c r="I12" s="1263"/>
      <c r="J12" s="1263"/>
      <c r="K12" s="1263"/>
      <c r="L12" s="1263"/>
      <c r="M12" s="1264"/>
    </row>
    <row r="13" spans="2:15" ht="18" x14ac:dyDescent="0.2">
      <c r="B13" s="503"/>
      <c r="C13" s="503"/>
      <c r="D13" s="503"/>
      <c r="E13" s="503"/>
      <c r="F13" s="503"/>
      <c r="G13" s="503"/>
      <c r="H13" s="503"/>
      <c r="I13" s="503"/>
      <c r="J13" s="503"/>
      <c r="K13" s="503"/>
      <c r="L13" s="503"/>
      <c r="M13" s="503"/>
    </row>
    <row r="14" spans="2:15" ht="14.25" customHeight="1" x14ac:dyDescent="0.15">
      <c r="B14" s="8" t="str">
        <f>'Manufacturing Costs'!B484</f>
        <v>Pack manufacturing strategy: Method 1: Packs are produced at the SAME rate (GWh/year) as cells (default)</v>
      </c>
      <c r="E14" s="476">
        <f>'Manufacturing Costs'!E484</f>
        <v>1</v>
      </c>
      <c r="F14" s="8" t="s">
        <v>247</v>
      </c>
      <c r="H14" s="95"/>
    </row>
    <row r="15" spans="2:15" x14ac:dyDescent="0.15">
      <c r="E15" s="45"/>
      <c r="H15" s="95"/>
    </row>
    <row r="16" spans="2:15" x14ac:dyDescent="0.15">
      <c r="B16" s="8" t="str">
        <f>'Manufacturing Costs'!B486</f>
        <v>Pack cost option: Cost to consumer - includes pack profit/warranty (Default)</v>
      </c>
      <c r="E16" s="476">
        <f>'Manufacturing Costs'!E486</f>
        <v>1</v>
      </c>
      <c r="F16" s="8" t="s">
        <v>247</v>
      </c>
      <c r="H16" s="95"/>
    </row>
    <row r="17" spans="2:15" x14ac:dyDescent="0.15">
      <c r="H17" s="95"/>
    </row>
    <row r="18" spans="2:15" ht="14" x14ac:dyDescent="0.15">
      <c r="B18" s="1345" t="s">
        <v>248</v>
      </c>
      <c r="C18" s="1345"/>
      <c r="D18" s="1345"/>
      <c r="E18" s="694" t="s">
        <v>249</v>
      </c>
      <c r="H18" s="95"/>
    </row>
    <row r="19" spans="2:15" ht="14" x14ac:dyDescent="0.15">
      <c r="B19" s="16"/>
      <c r="C19" s="16"/>
      <c r="E19" s="863"/>
      <c r="H19" s="95"/>
    </row>
    <row r="20" spans="2:15" x14ac:dyDescent="0.15">
      <c r="B20" s="8" t="s">
        <v>250</v>
      </c>
      <c r="E20" s="476" t="str">
        <f>'Manufacturing Costs'!E490</f>
        <v/>
      </c>
      <c r="F20" s="26"/>
      <c r="H20" s="95"/>
    </row>
    <row r="21" spans="2:15" x14ac:dyDescent="0.15">
      <c r="B21" s="8" t="s">
        <v>251</v>
      </c>
      <c r="E21" s="476" t="str">
        <f>'Manufacturing Costs'!E491</f>
        <v>x</v>
      </c>
      <c r="F21" s="26"/>
      <c r="H21" s="95"/>
    </row>
    <row r="22" spans="2:15" x14ac:dyDescent="0.15">
      <c r="B22" s="8" t="s">
        <v>252</v>
      </c>
      <c r="E22" s="476" t="str">
        <f>'Manufacturing Costs'!E492</f>
        <v>x</v>
      </c>
      <c r="F22" s="26"/>
      <c r="H22" s="95"/>
    </row>
    <row r="23" spans="2:15" x14ac:dyDescent="0.15">
      <c r="B23" s="8"/>
      <c r="D23" s="26"/>
      <c r="E23" s="8"/>
      <c r="F23" s="26"/>
      <c r="H23" s="95"/>
    </row>
    <row r="24" spans="2:15" ht="14" thickBot="1" x14ac:dyDescent="0.2">
      <c r="C24" s="26"/>
      <c r="D24" s="26"/>
      <c r="E24" s="26"/>
      <c r="F24" s="26"/>
      <c r="G24" s="3"/>
      <c r="H24" s="3"/>
      <c r="I24" s="3"/>
      <c r="J24" s="3"/>
      <c r="K24" s="3"/>
      <c r="L24" s="3"/>
      <c r="M24" s="3"/>
    </row>
    <row r="25" spans="2:15" ht="21" thickBot="1" x14ac:dyDescent="0.25">
      <c r="B25" s="1262" t="s">
        <v>1493</v>
      </c>
      <c r="C25" s="1263"/>
      <c r="D25" s="1263"/>
      <c r="E25" s="1263"/>
      <c r="F25" s="1263"/>
      <c r="G25" s="1263"/>
      <c r="H25" s="1263"/>
      <c r="I25" s="1263"/>
      <c r="J25" s="1263"/>
      <c r="K25" s="1263"/>
      <c r="L25" s="1263"/>
      <c r="M25" s="1264"/>
    </row>
    <row r="26" spans="2:15" x14ac:dyDescent="0.15">
      <c r="C26" s="26"/>
      <c r="D26" s="26"/>
      <c r="E26" s="26"/>
      <c r="F26" s="26"/>
      <c r="G26" s="3"/>
      <c r="H26" s="3"/>
      <c r="I26" s="3"/>
      <c r="J26" s="3"/>
      <c r="K26" s="3"/>
      <c r="L26" s="3"/>
      <c r="M26" s="3"/>
    </row>
    <row r="27" spans="2:15" x14ac:dyDescent="0.15">
      <c r="B27" s="8" t="s">
        <v>1494</v>
      </c>
      <c r="C27" s="26"/>
      <c r="D27" s="26"/>
      <c r="E27" s="26"/>
      <c r="F27" s="26"/>
      <c r="G27" s="1035">
        <f ca="1">G$8*'Manufacturing Costs'!G127*(1-Lists!$C$154)</f>
        <v>5036.8425880690374</v>
      </c>
      <c r="H27" s="1035">
        <f ca="1">H$8*'Manufacturing Costs'!H127*(1-Lists!$C$154)</f>
        <v>5036.8425880690374</v>
      </c>
      <c r="I27" s="1035">
        <f ca="1">I$8*'Manufacturing Costs'!I127*(1-Lists!$C$154)</f>
        <v>5036.8425880690374</v>
      </c>
      <c r="J27" s="1035">
        <f ca="1">J$8*'Manufacturing Costs'!J127*(1-Lists!$C$154)</f>
        <v>5036.8425880690374</v>
      </c>
      <c r="K27" s="1035">
        <f ca="1">K$8*'Manufacturing Costs'!K127*(1-Lists!$C$154)</f>
        <v>5036.8425880690374</v>
      </c>
      <c r="L27" s="1035">
        <f ca="1">L$8*'Manufacturing Costs'!L127*(1-Lists!$C$154)</f>
        <v>5036.8425880690374</v>
      </c>
      <c r="M27" s="1035">
        <f ca="1">M$8*'Manufacturing Costs'!M127*(1-Lists!$C$154)</f>
        <v>5036.8425880690374</v>
      </c>
      <c r="O27" s="47"/>
    </row>
    <row r="28" spans="2:15" x14ac:dyDescent="0.15">
      <c r="B28" s="8" t="s">
        <v>1495</v>
      </c>
      <c r="C28" s="26"/>
      <c r="D28" s="26"/>
      <c r="E28" s="26"/>
      <c r="F28" s="26"/>
      <c r="G28" s="1035">
        <f ca="1">G$8*'Manufacturing Costs'!G133*(1-Lists!$C$154)</f>
        <v>864.71617813993259</v>
      </c>
      <c r="H28" s="1035">
        <f ca="1">H$8*'Manufacturing Costs'!H133*(1-Lists!$C$154)</f>
        <v>864.71617813993259</v>
      </c>
      <c r="I28" s="1035">
        <f ca="1">I$8*'Manufacturing Costs'!I133*(1-Lists!$C$154)</f>
        <v>864.71617813993259</v>
      </c>
      <c r="J28" s="1035">
        <f ca="1">J$8*'Manufacturing Costs'!J133*(1-Lists!$C$154)</f>
        <v>864.71617813993259</v>
      </c>
      <c r="K28" s="1035">
        <f ca="1">K$8*'Manufacturing Costs'!K133*(1-Lists!$C$154)</f>
        <v>864.71617813993259</v>
      </c>
      <c r="L28" s="1035">
        <f ca="1">L$8*'Manufacturing Costs'!L133*(1-Lists!$C$154)</f>
        <v>864.71617813993259</v>
      </c>
      <c r="M28" s="1035">
        <f ca="1">M$8*'Manufacturing Costs'!M133*(1-Lists!$C$154)</f>
        <v>864.71617813993259</v>
      </c>
    </row>
    <row r="29" spans="2:15" x14ac:dyDescent="0.15">
      <c r="B29" s="8" t="s">
        <v>767</v>
      </c>
      <c r="C29" s="26"/>
      <c r="D29" s="26"/>
      <c r="E29" s="26"/>
      <c r="F29" s="26"/>
      <c r="G29" s="1035">
        <f ca="1">G$8*('Manufacturing Costs'!G128+'Manufacturing Costs'!G134)*(1-Lists!$C$154)</f>
        <v>62.409543127553</v>
      </c>
      <c r="H29" s="1035">
        <f ca="1">H$8*('Manufacturing Costs'!H128+'Manufacturing Costs'!H134)*(1-Lists!$C$154)</f>
        <v>62.409543127553</v>
      </c>
      <c r="I29" s="1035">
        <f ca="1">I$8*('Manufacturing Costs'!I128+'Manufacturing Costs'!I134)*(1-Lists!$C$154)</f>
        <v>62.409543127553</v>
      </c>
      <c r="J29" s="1035">
        <f ca="1">J$8*('Manufacturing Costs'!J128+'Manufacturing Costs'!J134)*(1-Lists!$C$154)</f>
        <v>62.409543127553</v>
      </c>
      <c r="K29" s="1035">
        <f ca="1">K$8*('Manufacturing Costs'!K128+'Manufacturing Costs'!K134)*(1-Lists!$C$154)</f>
        <v>62.409543127553</v>
      </c>
      <c r="L29" s="1035">
        <f ca="1">L$8*('Manufacturing Costs'!L128+'Manufacturing Costs'!L134)*(1-Lists!$C$154)</f>
        <v>62.409543127553</v>
      </c>
      <c r="M29" s="1035">
        <f ca="1">M$8*('Manufacturing Costs'!M128+'Manufacturing Costs'!M134)*(1-Lists!$C$154)</f>
        <v>62.409543127553</v>
      </c>
    </row>
    <row r="30" spans="2:15" x14ac:dyDescent="0.15">
      <c r="B30" s="8" t="s">
        <v>1496</v>
      </c>
      <c r="C30" s="26"/>
      <c r="D30" s="26"/>
      <c r="E30" s="26"/>
      <c r="F30" s="26"/>
      <c r="G30" s="1035">
        <f ca="1">G$8*('Manufacturing Costs'!G129+'Manufacturing Costs'!G135)*(1-Lists!$C$154)</f>
        <v>71.871512186088012</v>
      </c>
      <c r="H30" s="1035">
        <f ca="1">H$8*('Manufacturing Costs'!H129+'Manufacturing Costs'!H135)*(1-Lists!$C$154)</f>
        <v>71.871512186088012</v>
      </c>
      <c r="I30" s="1035">
        <f ca="1">I$8*('Manufacturing Costs'!I129+'Manufacturing Costs'!I135)*(1-Lists!$C$154)</f>
        <v>71.871512186088012</v>
      </c>
      <c r="J30" s="1035">
        <f ca="1">J$8*('Manufacturing Costs'!J129+'Manufacturing Costs'!J135)*(1-Lists!$C$154)</f>
        <v>71.871512186088012</v>
      </c>
      <c r="K30" s="1035">
        <f ca="1">K$8*('Manufacturing Costs'!K129+'Manufacturing Costs'!K135)*(1-Lists!$C$154)</f>
        <v>71.871512186088012</v>
      </c>
      <c r="L30" s="1035">
        <f ca="1">L$8*('Manufacturing Costs'!L129+'Manufacturing Costs'!L135)*(1-Lists!$C$154)</f>
        <v>71.871512186088012</v>
      </c>
      <c r="M30" s="1035">
        <f ca="1">M$8*('Manufacturing Costs'!M129+'Manufacturing Costs'!M135)*(1-Lists!$C$154)</f>
        <v>71.871512186088012</v>
      </c>
    </row>
    <row r="31" spans="2:15" x14ac:dyDescent="0.15">
      <c r="B31" s="8" t="s">
        <v>1497</v>
      </c>
      <c r="C31" s="26"/>
      <c r="D31" s="26"/>
      <c r="E31" s="26"/>
      <c r="F31" s="26"/>
      <c r="G31" s="1035">
        <f ca="1">G$8*('Manufacturing Costs'!G130+'Manufacturing Costs'!G136)*(1-Lists!$C$154)</f>
        <v>149.34220988656816</v>
      </c>
      <c r="H31" s="1035">
        <f ca="1">H$8*('Manufacturing Costs'!H130+'Manufacturing Costs'!H136)*(1-Lists!$C$154)</f>
        <v>149.34220988656816</v>
      </c>
      <c r="I31" s="1035">
        <f ca="1">I$8*('Manufacturing Costs'!I130+'Manufacturing Costs'!I136)*(1-Lists!$C$154)</f>
        <v>149.34220988656816</v>
      </c>
      <c r="J31" s="1035">
        <f ca="1">J$8*('Manufacturing Costs'!J130+'Manufacturing Costs'!J136)*(1-Lists!$C$154)</f>
        <v>149.34220988656816</v>
      </c>
      <c r="K31" s="1035">
        <f ca="1">K$8*('Manufacturing Costs'!K130+'Manufacturing Costs'!K136)*(1-Lists!$C$154)</f>
        <v>149.34220988656816</v>
      </c>
      <c r="L31" s="1035">
        <f ca="1">L$8*('Manufacturing Costs'!L130+'Manufacturing Costs'!L136)*(1-Lists!$C$154)</f>
        <v>149.34220988656816</v>
      </c>
      <c r="M31" s="1035">
        <f ca="1">M$8*('Manufacturing Costs'!M130+'Manufacturing Costs'!M136)*(1-Lists!$C$154)</f>
        <v>149.34220988656816</v>
      </c>
    </row>
    <row r="32" spans="2:15" x14ac:dyDescent="0.15">
      <c r="B32" s="8" t="s">
        <v>1498</v>
      </c>
      <c r="C32" s="26"/>
      <c r="D32" s="26"/>
      <c r="E32" s="26"/>
      <c r="F32" s="26"/>
      <c r="G32" s="1035">
        <f ca="1">G$8*'Manufacturing Costs'!G144*(1-Lists!$C$154)</f>
        <v>61.505325395187342</v>
      </c>
      <c r="H32" s="1035">
        <f ca="1">H$8*'Manufacturing Costs'!H144*(1-Lists!$C$154)</f>
        <v>61.505325395187342</v>
      </c>
      <c r="I32" s="1035">
        <f ca="1">I$8*'Manufacturing Costs'!I144*(1-Lists!$C$154)</f>
        <v>61.505325395187342</v>
      </c>
      <c r="J32" s="1035">
        <f ca="1">J$8*'Manufacturing Costs'!J144*(1-Lists!$C$154)</f>
        <v>61.505325395187342</v>
      </c>
      <c r="K32" s="1035">
        <f ca="1">K$8*'Manufacturing Costs'!K144*(1-Lists!$C$154)</f>
        <v>61.505325395187342</v>
      </c>
      <c r="L32" s="1035">
        <f ca="1">L$8*'Manufacturing Costs'!L144*(1-Lists!$C$154)</f>
        <v>61.505325395187342</v>
      </c>
      <c r="M32" s="1035">
        <f ca="1">M$8*'Manufacturing Costs'!M144*(1-Lists!$C$154)</f>
        <v>61.505325395187342</v>
      </c>
    </row>
    <row r="33" spans="2:14" x14ac:dyDescent="0.15">
      <c r="B33" s="8" t="s">
        <v>1499</v>
      </c>
      <c r="C33" s="26"/>
      <c r="D33" s="26"/>
      <c r="E33" s="26"/>
      <c r="F33" s="26"/>
      <c r="G33" s="1035">
        <f ca="1">G$8*'Manufacturing Costs'!G145*(1-Lists!$C$154)</f>
        <v>391.49219295501575</v>
      </c>
      <c r="H33" s="1035">
        <f ca="1">H$8*'Manufacturing Costs'!H145*(1-Lists!$C$154)</f>
        <v>391.49219295501575</v>
      </c>
      <c r="I33" s="1035">
        <f ca="1">I$8*'Manufacturing Costs'!I145*(1-Lists!$C$154)</f>
        <v>391.49219295501575</v>
      </c>
      <c r="J33" s="1035">
        <f ca="1">J$8*'Manufacturing Costs'!J145*(1-Lists!$C$154)</f>
        <v>391.49219295501575</v>
      </c>
      <c r="K33" s="1035">
        <f ca="1">K$8*'Manufacturing Costs'!K145*(1-Lists!$C$154)</f>
        <v>391.49219295501575</v>
      </c>
      <c r="L33" s="1035">
        <f ca="1">L$8*'Manufacturing Costs'!L145*(1-Lists!$C$154)</f>
        <v>391.49219295501575</v>
      </c>
      <c r="M33" s="1035">
        <f ca="1">M$8*'Manufacturing Costs'!M145*(1-Lists!$C$154)</f>
        <v>391.49219295501575</v>
      </c>
    </row>
    <row r="34" spans="2:14" x14ac:dyDescent="0.15">
      <c r="B34" s="8" t="s">
        <v>1500</v>
      </c>
      <c r="C34" s="26"/>
      <c r="D34" s="26"/>
      <c r="E34" s="26"/>
      <c r="F34" s="26"/>
      <c r="G34" s="1035">
        <f ca="1">G$8*'Manufacturing Costs'!G146*(1-Lists!$C$154)</f>
        <v>466.06942664422854</v>
      </c>
      <c r="H34" s="1035">
        <f ca="1">H$8*'Manufacturing Costs'!H146*(1-Lists!$C$154)</f>
        <v>466.06942664422854</v>
      </c>
      <c r="I34" s="1035">
        <f ca="1">I$8*'Manufacturing Costs'!I146*(1-Lists!$C$154)</f>
        <v>466.06942664422854</v>
      </c>
      <c r="J34" s="1035">
        <f ca="1">J$8*'Manufacturing Costs'!J146*(1-Lists!$C$154)</f>
        <v>466.06942664422854</v>
      </c>
      <c r="K34" s="1035">
        <f ca="1">K$8*'Manufacturing Costs'!K146*(1-Lists!$C$154)</f>
        <v>466.06942664422854</v>
      </c>
      <c r="L34" s="1035">
        <f ca="1">L$8*'Manufacturing Costs'!L146*(1-Lists!$C$154)</f>
        <v>466.06942664422854</v>
      </c>
      <c r="M34" s="1035">
        <f ca="1">M$8*'Manufacturing Costs'!M146*(1-Lists!$C$154)</f>
        <v>466.06942664422854</v>
      </c>
    </row>
    <row r="35" spans="2:14" x14ac:dyDescent="0.15">
      <c r="B35" s="8" t="s">
        <v>821</v>
      </c>
      <c r="C35" s="26"/>
      <c r="D35" s="26"/>
      <c r="E35" s="26"/>
      <c r="F35" s="26"/>
      <c r="G35" s="1035">
        <f ca="1">G$8*'Manufacturing Costs'!G147*(1-Lists!$C$154)</f>
        <v>459.46998003588203</v>
      </c>
      <c r="H35" s="1035">
        <f ca="1">H$8*'Manufacturing Costs'!H147*(1-Lists!$C$154)</f>
        <v>459.46998003588203</v>
      </c>
      <c r="I35" s="1035">
        <f ca="1">I$8*'Manufacturing Costs'!I147*(1-Lists!$C$154)</f>
        <v>459.46998003588203</v>
      </c>
      <c r="J35" s="1035">
        <f ca="1">J$8*'Manufacturing Costs'!J147*(1-Lists!$C$154)</f>
        <v>459.46998003588203</v>
      </c>
      <c r="K35" s="1035">
        <f ca="1">K$8*'Manufacturing Costs'!K147*(1-Lists!$C$154)</f>
        <v>459.46998003588203</v>
      </c>
      <c r="L35" s="1035">
        <f ca="1">L$8*'Manufacturing Costs'!L147*(1-Lists!$C$154)</f>
        <v>459.46998003588203</v>
      </c>
      <c r="M35" s="1035">
        <f ca="1">M$8*'Manufacturing Costs'!M147*(1-Lists!$C$154)</f>
        <v>459.46998003588203</v>
      </c>
    </row>
    <row r="36" spans="2:14" x14ac:dyDescent="0.15">
      <c r="B36" s="8" t="s">
        <v>331</v>
      </c>
      <c r="C36" s="26"/>
      <c r="D36" s="26"/>
      <c r="E36" s="26"/>
      <c r="F36" s="26"/>
      <c r="G36" s="1035">
        <f ca="1">G$8*SUM('Manufacturing Costs'!G139:G141)*(1-Lists!$C$154)</f>
        <v>0</v>
      </c>
      <c r="H36" s="1035">
        <f ca="1">H$8*SUM('Manufacturing Costs'!H139:H141)*(1-Lists!$C$154)</f>
        <v>0</v>
      </c>
      <c r="I36" s="1035">
        <f ca="1">I$8*SUM('Manufacturing Costs'!I139:I141)*(1-Lists!$C$154)</f>
        <v>0</v>
      </c>
      <c r="J36" s="1035">
        <f ca="1">J$8*SUM('Manufacturing Costs'!J139:J141)*(1-Lists!$C$154)</f>
        <v>0</v>
      </c>
      <c r="K36" s="1035">
        <f ca="1">K$8*SUM('Manufacturing Costs'!K139:K141)*(1-Lists!$C$154)</f>
        <v>0</v>
      </c>
      <c r="L36" s="1035">
        <f ca="1">L$8*SUM('Manufacturing Costs'!L139:L141)*(1-Lists!$C$154)</f>
        <v>0</v>
      </c>
      <c r="M36" s="1035">
        <f ca="1">M$8*SUM('Manufacturing Costs'!M139:M141)*(1-Lists!$C$154)</f>
        <v>0</v>
      </c>
    </row>
    <row r="37" spans="2:14" x14ac:dyDescent="0.15">
      <c r="B37" s="8" t="s">
        <v>1501</v>
      </c>
      <c r="C37" s="26"/>
      <c r="D37" s="26"/>
      <c r="E37" s="26"/>
      <c r="F37" s="26"/>
      <c r="G37" s="1035">
        <f ca="1">G8*SUM('Manufacturing Costs'!G148:G150)*(1-Lists!$C$154)</f>
        <v>234.40436986524836</v>
      </c>
      <c r="H37" s="1035">
        <f ca="1">H8*SUM('Manufacturing Costs'!H148:H150)*(1-Lists!$C$154)</f>
        <v>234.40436986524836</v>
      </c>
      <c r="I37" s="1035">
        <f ca="1">I8*SUM('Manufacturing Costs'!I148:I150)*(1-Lists!$C$154)</f>
        <v>234.40436986524836</v>
      </c>
      <c r="J37" s="1035">
        <f ca="1">J8*SUM('Manufacturing Costs'!J148:J150)*(1-Lists!$C$154)</f>
        <v>234.40436986524836</v>
      </c>
      <c r="K37" s="1035">
        <f ca="1">K8*SUM('Manufacturing Costs'!K148:K150)*(1-Lists!$C$154)</f>
        <v>234.40436986524836</v>
      </c>
      <c r="L37" s="1035">
        <f ca="1">L8*SUM('Manufacturing Costs'!L148:L150)*(1-Lists!$C$154)</f>
        <v>234.40436986524836</v>
      </c>
      <c r="M37" s="1035">
        <f ca="1">M8*SUM('Manufacturing Costs'!M148:M150)*(1-Lists!$C$154)</f>
        <v>234.40436986524836</v>
      </c>
    </row>
    <row r="38" spans="2:14" x14ac:dyDescent="0.15">
      <c r="B38" s="247" t="s">
        <v>1502</v>
      </c>
      <c r="C38" s="26"/>
      <c r="D38" s="26"/>
      <c r="E38" s="26"/>
      <c r="F38" s="26"/>
      <c r="G38" s="1035">
        <f ca="1">(G9*'Manufacturing Costs'!G162+Lists!$C$154*'Manufacturing Costs'!G539)</f>
        <v>770.23172955491884</v>
      </c>
      <c r="H38" s="1035">
        <f ca="1">(H9*'Manufacturing Costs'!H162+Lists!$C$154*'Manufacturing Costs'!H539)</f>
        <v>770.23172955491884</v>
      </c>
      <c r="I38" s="1035">
        <f ca="1">(I9*'Manufacturing Costs'!I162+Lists!$C$154*'Manufacturing Costs'!I539)</f>
        <v>770.23172955491884</v>
      </c>
      <c r="J38" s="1035">
        <f ca="1">(J9*'Manufacturing Costs'!J162+Lists!$C$154*'Manufacturing Costs'!J539)</f>
        <v>770.23172955491884</v>
      </c>
      <c r="K38" s="1035">
        <f ca="1">(K9*'Manufacturing Costs'!K162+Lists!$C$154*'Manufacturing Costs'!K539)</f>
        <v>770.23172955491884</v>
      </c>
      <c r="L38" s="1035">
        <f ca="1">(L9*'Manufacturing Costs'!L162+Lists!$C$154*'Manufacturing Costs'!L539)</f>
        <v>770.23172955491884</v>
      </c>
      <c r="M38" s="1035">
        <f ca="1">(M9*'Manufacturing Costs'!M162+Lists!$C$154*'Manufacturing Costs'!M539)</f>
        <v>770.23172955491884</v>
      </c>
      <c r="N38" s="562"/>
    </row>
    <row r="39" spans="2:14" x14ac:dyDescent="0.15">
      <c r="B39" s="8" t="s">
        <v>1503</v>
      </c>
      <c r="C39" s="26"/>
      <c r="D39" s="26"/>
      <c r="E39" s="26"/>
      <c r="F39" s="26"/>
      <c r="G39" s="1035">
        <f ca="1">'Manufacturing Costs'!G178</f>
        <v>466.79703089553675</v>
      </c>
      <c r="H39" s="1035">
        <f ca="1">'Manufacturing Costs'!H178</f>
        <v>466.79703089553675</v>
      </c>
      <c r="I39" s="1035">
        <f ca="1">'Manufacturing Costs'!I178</f>
        <v>466.79703089553675</v>
      </c>
      <c r="J39" s="1035">
        <f ca="1">'Manufacturing Costs'!J178</f>
        <v>466.79703089553675</v>
      </c>
      <c r="K39" s="1035">
        <f ca="1">'Manufacturing Costs'!K178</f>
        <v>466.79703089553675</v>
      </c>
      <c r="L39" s="1035">
        <f ca="1">'Manufacturing Costs'!L178</f>
        <v>466.79703089553675</v>
      </c>
      <c r="M39" s="1035">
        <f ca="1">'Manufacturing Costs'!M178</f>
        <v>466.79703089553675</v>
      </c>
      <c r="N39" s="562"/>
    </row>
    <row r="40" spans="2:14" x14ac:dyDescent="0.15">
      <c r="B40" s="8" t="s">
        <v>1504</v>
      </c>
      <c r="G40" s="1035">
        <f ca="1">'Manufacturing Costs'!G179</f>
        <v>354.3728995446063</v>
      </c>
      <c r="H40" s="1035">
        <f ca="1">'Manufacturing Costs'!H179</f>
        <v>354.3728995446063</v>
      </c>
      <c r="I40" s="1035">
        <f ca="1">'Manufacturing Costs'!I179</f>
        <v>354.3728995446063</v>
      </c>
      <c r="J40" s="1035">
        <f ca="1">'Manufacturing Costs'!J179</f>
        <v>354.3728995446063</v>
      </c>
      <c r="K40" s="1035">
        <f ca="1">'Manufacturing Costs'!K179</f>
        <v>354.3728995446063</v>
      </c>
      <c r="L40" s="1035">
        <f ca="1">'Manufacturing Costs'!L179</f>
        <v>354.3728995446063</v>
      </c>
      <c r="M40" s="1035">
        <f ca="1">'Manufacturing Costs'!M179</f>
        <v>354.3728995446063</v>
      </c>
    </row>
    <row r="41" spans="2:14" x14ac:dyDescent="0.15">
      <c r="B41" s="8" t="s">
        <v>1505</v>
      </c>
      <c r="G41" s="1035">
        <f t="shared" ref="G41:M41" ca="1" si="0">SUM(G27:G40)</f>
        <v>9389.5249862998025</v>
      </c>
      <c r="H41" s="1035">
        <f t="shared" ca="1" si="0"/>
        <v>9389.5249862998025</v>
      </c>
      <c r="I41" s="1035">
        <f t="shared" ca="1" si="0"/>
        <v>9389.5249862998025</v>
      </c>
      <c r="J41" s="1035">
        <f t="shared" ca="1" si="0"/>
        <v>9389.5249862998025</v>
      </c>
      <c r="K41" s="1035">
        <f t="shared" ca="1" si="0"/>
        <v>9389.5249862998025</v>
      </c>
      <c r="L41" s="1035">
        <f t="shared" ca="1" si="0"/>
        <v>9389.5249862998025</v>
      </c>
      <c r="M41" s="1035">
        <f t="shared" ca="1" si="0"/>
        <v>9389.5249862998025</v>
      </c>
    </row>
    <row r="42" spans="2:14" x14ac:dyDescent="0.15">
      <c r="B42" s="8"/>
      <c r="G42" s="857"/>
      <c r="H42" s="857"/>
      <c r="I42" s="857"/>
      <c r="J42" s="857"/>
      <c r="K42" s="857"/>
      <c r="L42" s="857"/>
      <c r="M42" s="857"/>
    </row>
    <row r="43" spans="2:14" ht="14" thickBot="1" x14ac:dyDescent="0.2">
      <c r="C43" s="26"/>
      <c r="D43" s="26"/>
      <c r="E43" s="26"/>
      <c r="F43" s="26"/>
      <c r="G43" s="3"/>
      <c r="H43" s="3"/>
      <c r="I43" s="3"/>
      <c r="J43" s="3"/>
      <c r="K43" s="3"/>
      <c r="L43" s="3"/>
      <c r="M43" s="3"/>
    </row>
    <row r="44" spans="2:14" ht="21" thickBot="1" x14ac:dyDescent="0.25">
      <c r="B44" s="1262" t="s">
        <v>1506</v>
      </c>
      <c r="C44" s="1263"/>
      <c r="D44" s="1263"/>
      <c r="E44" s="1263"/>
      <c r="F44" s="1263"/>
      <c r="G44" s="1263"/>
      <c r="H44" s="1263"/>
      <c r="I44" s="1263"/>
      <c r="J44" s="1263"/>
      <c r="K44" s="1263"/>
      <c r="L44" s="1263"/>
      <c r="M44" s="1264"/>
      <c r="N44" s="8"/>
    </row>
    <row r="45" spans="2:14" x14ac:dyDescent="0.15">
      <c r="B45" s="159"/>
      <c r="C45" s="159"/>
      <c r="D45" s="159"/>
      <c r="E45" s="803"/>
      <c r="F45" s="803"/>
      <c r="G45" s="807"/>
    </row>
    <row r="46" spans="2:14" x14ac:dyDescent="0.15">
      <c r="B46" s="8" t="s">
        <v>1507</v>
      </c>
      <c r="C46" s="95"/>
      <c r="D46" s="8"/>
      <c r="E46" s="8"/>
      <c r="F46" s="375"/>
      <c r="G46" s="854">
        <f ca="1">SUM(G27:G36)</f>
        <v>7563.718956439493</v>
      </c>
      <c r="H46" s="854">
        <f t="shared" ref="H46:M46" ca="1" si="1">SUM(H27:H36)</f>
        <v>7563.718956439493</v>
      </c>
      <c r="I46" s="854">
        <f t="shared" ca="1" si="1"/>
        <v>7563.718956439493</v>
      </c>
      <c r="J46" s="854">
        <f t="shared" ca="1" si="1"/>
        <v>7563.718956439493</v>
      </c>
      <c r="K46" s="854">
        <f t="shared" ca="1" si="1"/>
        <v>7563.718956439493</v>
      </c>
      <c r="L46" s="854">
        <f t="shared" ca="1" si="1"/>
        <v>7563.718956439493</v>
      </c>
      <c r="M46" s="854">
        <f t="shared" ca="1" si="1"/>
        <v>7563.718956439493</v>
      </c>
      <c r="N46" s="562"/>
    </row>
    <row r="47" spans="2:14" x14ac:dyDescent="0.15">
      <c r="B47" s="8" t="s">
        <v>1508</v>
      </c>
      <c r="C47" s="95"/>
      <c r="D47" s="8"/>
      <c r="E47" s="8"/>
      <c r="F47" s="375"/>
      <c r="G47" s="854">
        <f ca="1">SUM(G37:G39)</f>
        <v>1471.4331303157039</v>
      </c>
      <c r="H47" s="854">
        <f t="shared" ref="H47:M47" ca="1" si="2">SUM(H37:H39)</f>
        <v>1471.4331303157039</v>
      </c>
      <c r="I47" s="854">
        <f t="shared" ca="1" si="2"/>
        <v>1471.4331303157039</v>
      </c>
      <c r="J47" s="854">
        <f t="shared" ca="1" si="2"/>
        <v>1471.4331303157039</v>
      </c>
      <c r="K47" s="854">
        <f t="shared" ca="1" si="2"/>
        <v>1471.4331303157039</v>
      </c>
      <c r="L47" s="854">
        <f t="shared" ca="1" si="2"/>
        <v>1471.4331303157039</v>
      </c>
      <c r="M47" s="854">
        <f t="shared" ca="1" si="2"/>
        <v>1471.4331303157039</v>
      </c>
      <c r="N47" s="562"/>
    </row>
    <row r="48" spans="2:14" x14ac:dyDescent="0.15">
      <c r="B48" s="8" t="s">
        <v>1509</v>
      </c>
      <c r="C48" s="95"/>
      <c r="D48" s="8"/>
      <c r="E48" s="8"/>
      <c r="F48" s="375"/>
      <c r="G48" s="1038">
        <f ca="1">G40</f>
        <v>354.3728995446063</v>
      </c>
      <c r="H48" s="1038">
        <f t="shared" ref="H48:M48" ca="1" si="3">H40</f>
        <v>354.3728995446063</v>
      </c>
      <c r="I48" s="1038">
        <f t="shared" ca="1" si="3"/>
        <v>354.3728995446063</v>
      </c>
      <c r="J48" s="1038">
        <f t="shared" ca="1" si="3"/>
        <v>354.3728995446063</v>
      </c>
      <c r="K48" s="1038">
        <f t="shared" ca="1" si="3"/>
        <v>354.3728995446063</v>
      </c>
      <c r="L48" s="1038">
        <f t="shared" ca="1" si="3"/>
        <v>354.3728995446063</v>
      </c>
      <c r="M48" s="1038">
        <f t="shared" ca="1" si="3"/>
        <v>354.3728995446063</v>
      </c>
      <c r="N48" s="562"/>
    </row>
    <row r="49" spans="2:21" x14ac:dyDescent="0.15">
      <c r="B49" s="8" t="s">
        <v>1510</v>
      </c>
      <c r="C49" s="95"/>
      <c r="D49" s="8"/>
      <c r="E49" s="8"/>
      <c r="F49" s="375"/>
      <c r="G49" s="854">
        <f ca="1">'Manufacturing Costs'!G603+'Manufacturing Costs'!G561*'Cost Breakdown'!G9+IF(_manufact_method&lt;3,'Manufacturing Costs'!G514*G8,0)</f>
        <v>182.14114727876125</v>
      </c>
      <c r="H49" s="854">
        <f ca="1">'Manufacturing Costs'!H603+'Manufacturing Costs'!H561*'Cost Breakdown'!H9+IF(_manufact_method&lt;3,'Manufacturing Costs'!H514*H8,0)</f>
        <v>182.14114727876125</v>
      </c>
      <c r="I49" s="854">
        <f ca="1">'Manufacturing Costs'!I603+'Manufacturing Costs'!I561*'Cost Breakdown'!I9+IF(_manufact_method&lt;3,'Manufacturing Costs'!I514*I8,0)</f>
        <v>182.14114727876125</v>
      </c>
      <c r="J49" s="854">
        <f ca="1">'Manufacturing Costs'!J603+'Manufacturing Costs'!J561*'Cost Breakdown'!J9+IF(_manufact_method&lt;3,'Manufacturing Costs'!J514*J8,0)</f>
        <v>182.14114727876125</v>
      </c>
      <c r="K49" s="854">
        <f ca="1">'Manufacturing Costs'!K603+'Manufacturing Costs'!K561*'Cost Breakdown'!K9+IF(_manufact_method&lt;3,'Manufacturing Costs'!K514*K8,0)</f>
        <v>182.14114727876125</v>
      </c>
      <c r="L49" s="854">
        <f ca="1">'Manufacturing Costs'!L603+'Manufacturing Costs'!L561*'Cost Breakdown'!L9+IF(_manufact_method&lt;3,'Manufacturing Costs'!L514*L8,0)</f>
        <v>182.14114727876125</v>
      </c>
      <c r="M49" s="854">
        <f ca="1">'Manufacturing Costs'!M603+'Manufacturing Costs'!M561*'Cost Breakdown'!M9+IF(_manufact_method&lt;3,'Manufacturing Costs'!M514*M8,0)</f>
        <v>182.14114727876125</v>
      </c>
      <c r="N49" s="562"/>
    </row>
    <row r="50" spans="2:21" x14ac:dyDescent="0.15">
      <c r="B50" s="8" t="s">
        <v>1511</v>
      </c>
      <c r="C50" s="95"/>
      <c r="D50" s="8"/>
      <c r="E50" s="8"/>
      <c r="F50" s="375"/>
      <c r="G50" s="854">
        <f ca="1">'Manufacturing Costs'!G604+'Manufacturing Costs'!G562*'Cost Breakdown'!G9+IF(_manufact_method&lt;3,'Manufacturing Costs'!G515*G8,0)</f>
        <v>153.75302778805985</v>
      </c>
      <c r="H50" s="854">
        <f ca="1">'Manufacturing Costs'!H604+'Manufacturing Costs'!H562*'Cost Breakdown'!H9+IF(_manufact_method&lt;3,'Manufacturing Costs'!H515*H8,0)</f>
        <v>153.75302778805985</v>
      </c>
      <c r="I50" s="854">
        <f ca="1">'Manufacturing Costs'!I604+'Manufacturing Costs'!I562*'Cost Breakdown'!I9+IF(_manufact_method&lt;3,'Manufacturing Costs'!I515*I8,0)</f>
        <v>153.75302778805985</v>
      </c>
      <c r="J50" s="854">
        <f ca="1">'Manufacturing Costs'!J604+'Manufacturing Costs'!J562*'Cost Breakdown'!J9+IF(_manufact_method&lt;3,'Manufacturing Costs'!J515*J8,0)</f>
        <v>153.75302778805985</v>
      </c>
      <c r="K50" s="854">
        <f ca="1">'Manufacturing Costs'!K604+'Manufacturing Costs'!K562*'Cost Breakdown'!K9+IF(_manufact_method&lt;3,'Manufacturing Costs'!K515*K8,0)</f>
        <v>153.75302778805985</v>
      </c>
      <c r="L50" s="854">
        <f ca="1">'Manufacturing Costs'!L604+'Manufacturing Costs'!L562*'Cost Breakdown'!L9+IF(_manufact_method&lt;3,'Manufacturing Costs'!L515*L8,0)</f>
        <v>153.75302778805985</v>
      </c>
      <c r="M50" s="854">
        <f ca="1">'Manufacturing Costs'!M604+'Manufacturing Costs'!M562*'Cost Breakdown'!M9+IF(_manufact_method&lt;3,'Manufacturing Costs'!M515*M8,0)</f>
        <v>153.75302778805985</v>
      </c>
      <c r="N50" s="562"/>
    </row>
    <row r="51" spans="2:21" x14ac:dyDescent="0.15">
      <c r="B51" s="8" t="s">
        <v>1512</v>
      </c>
      <c r="C51" s="95"/>
      <c r="D51" s="8"/>
      <c r="E51" s="8"/>
      <c r="F51" s="375"/>
      <c r="G51" s="854">
        <f ca="1">'Manufacturing Costs'!G605+'Manufacturing Costs'!G563*'Cost Breakdown'!G9+IF(_manufact_method&lt;3,'Manufacturing Costs'!G516*G8,0)</f>
        <v>252.34989933943979</v>
      </c>
      <c r="H51" s="854">
        <f ca="1">'Manufacturing Costs'!H605+'Manufacturing Costs'!H563*'Cost Breakdown'!H9+IF(_manufact_method&lt;3,'Manufacturing Costs'!H516*H8,0)</f>
        <v>252.34989933943979</v>
      </c>
      <c r="I51" s="854">
        <f ca="1">'Manufacturing Costs'!I605+'Manufacturing Costs'!I563*'Cost Breakdown'!I9+IF(_manufact_method&lt;3,'Manufacturing Costs'!I516*I8,0)</f>
        <v>252.34989933943979</v>
      </c>
      <c r="J51" s="854">
        <f ca="1">'Manufacturing Costs'!J605+'Manufacturing Costs'!J563*'Cost Breakdown'!J9+IF(_manufact_method&lt;3,'Manufacturing Costs'!J516*J8,0)</f>
        <v>252.34989933943979</v>
      </c>
      <c r="K51" s="854">
        <f ca="1">'Manufacturing Costs'!K605+'Manufacturing Costs'!K563*'Cost Breakdown'!K9+IF(_manufact_method&lt;3,'Manufacturing Costs'!K516*K8,0)</f>
        <v>252.34989933943979</v>
      </c>
      <c r="L51" s="854">
        <f ca="1">'Manufacturing Costs'!L605+'Manufacturing Costs'!L563*'Cost Breakdown'!L9+IF(_manufact_method&lt;3,'Manufacturing Costs'!L516*L8,0)</f>
        <v>252.34989933943979</v>
      </c>
      <c r="M51" s="854">
        <f ca="1">'Manufacturing Costs'!M605+'Manufacturing Costs'!M563*'Cost Breakdown'!M9+IF(_manufact_method&lt;3,'Manufacturing Costs'!M516*M8,0)</f>
        <v>252.34989933943979</v>
      </c>
      <c r="N51" s="562"/>
    </row>
    <row r="52" spans="2:21" x14ac:dyDescent="0.15">
      <c r="B52" s="8" t="s">
        <v>1513</v>
      </c>
      <c r="C52" s="95"/>
      <c r="D52" s="8"/>
      <c r="E52" s="8"/>
      <c r="F52" s="375"/>
      <c r="G52" s="1039">
        <f ca="1">'Manufacturing Costs'!G609+'Manufacturing Costs'!G567*'Cost Breakdown'!G9+IF(_manufact_method&lt;3,'Manufacturing Costs'!G520*G8,0)</f>
        <v>657.77396076647403</v>
      </c>
      <c r="H52" s="1039">
        <f ca="1">'Manufacturing Costs'!H609+'Manufacturing Costs'!H567*'Cost Breakdown'!H9+IF(_manufact_method&lt;3,'Manufacturing Costs'!H520*H8,0)</f>
        <v>657.77396076647403</v>
      </c>
      <c r="I52" s="1039">
        <f ca="1">'Manufacturing Costs'!I609+'Manufacturing Costs'!I567*'Cost Breakdown'!I9+IF(_manufact_method&lt;3,'Manufacturing Costs'!I520*I8,0)</f>
        <v>657.77396076647403</v>
      </c>
      <c r="J52" s="1039">
        <f ca="1">'Manufacturing Costs'!J609+'Manufacturing Costs'!J567*'Cost Breakdown'!J9+IF(_manufact_method&lt;3,'Manufacturing Costs'!J520*J8,0)</f>
        <v>657.77396076647403</v>
      </c>
      <c r="K52" s="1039">
        <f ca="1">'Manufacturing Costs'!K609+'Manufacturing Costs'!K567*'Cost Breakdown'!K9+IF(_manufact_method&lt;3,'Manufacturing Costs'!K520*K8,0)</f>
        <v>657.77396076647403</v>
      </c>
      <c r="L52" s="1039">
        <f ca="1">'Manufacturing Costs'!L609+'Manufacturing Costs'!L567*'Cost Breakdown'!L9+IF(_manufact_method&lt;3,'Manufacturing Costs'!L520*L8,0)</f>
        <v>657.77396076647403</v>
      </c>
      <c r="M52" s="1039">
        <f ca="1">'Manufacturing Costs'!M609+'Manufacturing Costs'!M567*'Cost Breakdown'!M9+IF(_manufact_method&lt;3,'Manufacturing Costs'!M520*M8,0)</f>
        <v>657.77396076647403</v>
      </c>
      <c r="N52" s="562"/>
    </row>
    <row r="53" spans="2:21" x14ac:dyDescent="0.15">
      <c r="B53" s="8" t="s">
        <v>1514</v>
      </c>
      <c r="C53" s="95"/>
      <c r="D53" s="8"/>
      <c r="E53" s="8"/>
      <c r="F53" s="375"/>
      <c r="G53" s="1039">
        <f ca="1">'Manufacturing Costs'!G610+'Manufacturing Costs'!G568*'Cost Breakdown'!G9+IF(_manufact_method&lt;3,'Manufacturing Costs'!G521*G8,0)</f>
        <v>175.93280181502601</v>
      </c>
      <c r="H53" s="1039">
        <f ca="1">'Manufacturing Costs'!H610+'Manufacturing Costs'!H568*'Cost Breakdown'!H9+IF(_manufact_method&lt;3,'Manufacturing Costs'!H521*H8,0)</f>
        <v>175.93280181502601</v>
      </c>
      <c r="I53" s="1039">
        <f ca="1">'Manufacturing Costs'!I610+'Manufacturing Costs'!I568*'Cost Breakdown'!I9+IF(_manufact_method&lt;3,'Manufacturing Costs'!I521*I8,0)</f>
        <v>175.93280181502601</v>
      </c>
      <c r="J53" s="1039">
        <f ca="1">'Manufacturing Costs'!J610+'Manufacturing Costs'!J568*'Cost Breakdown'!J9+IF(_manufact_method&lt;3,'Manufacturing Costs'!J521*J8,0)</f>
        <v>175.93280181502601</v>
      </c>
      <c r="K53" s="1039">
        <f ca="1">'Manufacturing Costs'!K610+'Manufacturing Costs'!K568*'Cost Breakdown'!K9+IF(_manufact_method&lt;3,'Manufacturing Costs'!K521*K8,0)</f>
        <v>175.93280181502601</v>
      </c>
      <c r="L53" s="1039">
        <f ca="1">'Manufacturing Costs'!L610+'Manufacturing Costs'!L568*'Cost Breakdown'!L9+IF(_manufact_method&lt;3,'Manufacturing Costs'!L521*L8,0)</f>
        <v>175.93280181502601</v>
      </c>
      <c r="M53" s="1039">
        <f ca="1">'Manufacturing Costs'!M610+'Manufacturing Costs'!M568*'Cost Breakdown'!M9+IF(_manufact_method&lt;3,'Manufacturing Costs'!M521*M8,0)</f>
        <v>175.93280181502601</v>
      </c>
      <c r="N53" s="562"/>
    </row>
    <row r="54" spans="2:21" x14ac:dyDescent="0.15">
      <c r="B54" s="8" t="s">
        <v>1515</v>
      </c>
      <c r="C54" s="95"/>
      <c r="D54" s="8"/>
      <c r="E54" s="8"/>
      <c r="F54" s="375"/>
      <c r="G54" s="1039">
        <f ca="1">'Manufacturing Costs'!G611+'Manufacturing Costs'!G569*'Cost Breakdown'!G9+IF(_manufact_method&lt;3,'Manufacturing Costs'!G522*G8,0)</f>
        <v>230.22088626826596</v>
      </c>
      <c r="H54" s="1039">
        <f ca="1">'Manufacturing Costs'!H611+'Manufacturing Costs'!H569*'Cost Breakdown'!H9+IF(_manufact_method&lt;3,'Manufacturing Costs'!H522*H8,0)</f>
        <v>230.22088626826596</v>
      </c>
      <c r="I54" s="1039">
        <f ca="1">'Manufacturing Costs'!I611+'Manufacturing Costs'!I569*'Cost Breakdown'!I9+IF(_manufact_method&lt;3,'Manufacturing Costs'!I522*I8,0)</f>
        <v>230.22088626826596</v>
      </c>
      <c r="J54" s="1039">
        <f ca="1">'Manufacturing Costs'!J611+'Manufacturing Costs'!J569*'Cost Breakdown'!J9+IF(_manufact_method&lt;3,'Manufacturing Costs'!J522*J8,0)</f>
        <v>230.22088626826596</v>
      </c>
      <c r="K54" s="1039">
        <f ca="1">'Manufacturing Costs'!K611+'Manufacturing Costs'!K569*'Cost Breakdown'!K9+IF(_manufact_method&lt;3,'Manufacturing Costs'!K522*K8,0)</f>
        <v>230.22088626826596</v>
      </c>
      <c r="L54" s="1039">
        <f ca="1">'Manufacturing Costs'!L611+'Manufacturing Costs'!L569*'Cost Breakdown'!L9+IF(_manufact_method&lt;3,'Manufacturing Costs'!L522*L8,0)</f>
        <v>230.22088626826596</v>
      </c>
      <c r="M54" s="1039">
        <f ca="1">'Manufacturing Costs'!M611+'Manufacturing Costs'!M569*'Cost Breakdown'!M9+IF(_manufact_method&lt;3,'Manufacturing Costs'!M522*M8,0)</f>
        <v>230.22088626826596</v>
      </c>
      <c r="N54" s="562"/>
    </row>
    <row r="55" spans="2:21" x14ac:dyDescent="0.15">
      <c r="B55" s="8" t="s">
        <v>1516</v>
      </c>
      <c r="C55" s="95"/>
      <c r="D55" s="8"/>
      <c r="E55" s="8"/>
      <c r="F55" s="375"/>
      <c r="G55" s="1039">
        <f ca="1">'Manufacturing Costs'!G612+'Manufacturing Costs'!G570*'Cost Breakdown'!G9+IF(_manufact_method&lt;3,'Manufacturing Costs'!G523*G8,0)</f>
        <v>82.49728527944697</v>
      </c>
      <c r="H55" s="1039">
        <f ca="1">'Manufacturing Costs'!H612+'Manufacturing Costs'!H570*'Cost Breakdown'!H9+IF(_manufact_method&lt;3,'Manufacturing Costs'!H523*H8,0)</f>
        <v>82.49728527944697</v>
      </c>
      <c r="I55" s="1039">
        <f ca="1">'Manufacturing Costs'!I612+'Manufacturing Costs'!I570*'Cost Breakdown'!I9+IF(_manufact_method&lt;3,'Manufacturing Costs'!I523*I8,0)</f>
        <v>82.49728527944697</v>
      </c>
      <c r="J55" s="1039">
        <f ca="1">'Manufacturing Costs'!J612+'Manufacturing Costs'!J570*'Cost Breakdown'!J9+IF(_manufact_method&lt;3,'Manufacturing Costs'!J523*J8,0)</f>
        <v>82.49728527944697</v>
      </c>
      <c r="K55" s="1039">
        <f ca="1">'Manufacturing Costs'!K612+'Manufacturing Costs'!K570*'Cost Breakdown'!K9+IF(_manufact_method&lt;3,'Manufacturing Costs'!K523*K8,0)</f>
        <v>82.49728527944697</v>
      </c>
      <c r="L55" s="1039">
        <f ca="1">'Manufacturing Costs'!L612+'Manufacturing Costs'!L570*'Cost Breakdown'!L9+IF(_manufact_method&lt;3,'Manufacturing Costs'!L523*L8,0)</f>
        <v>82.49728527944697</v>
      </c>
      <c r="M55" s="1039">
        <f ca="1">'Manufacturing Costs'!M612+'Manufacturing Costs'!M570*'Cost Breakdown'!M9+IF(_manufact_method&lt;3,'Manufacturing Costs'!M523*M8,0)</f>
        <v>82.49728527944697</v>
      </c>
      <c r="N55" s="562"/>
    </row>
    <row r="56" spans="2:21" x14ac:dyDescent="0.15">
      <c r="B56" s="8" t="s">
        <v>1517</v>
      </c>
      <c r="C56" s="95"/>
      <c r="D56" s="8"/>
      <c r="E56" s="8"/>
      <c r="F56" s="375"/>
      <c r="G56" s="1038">
        <f ca="1">'Manufacturing Costs'!G637</f>
        <v>549.98190186297984</v>
      </c>
      <c r="H56" s="1038">
        <f ca="1">'Manufacturing Costs'!H637</f>
        <v>549.98190186297984</v>
      </c>
      <c r="I56" s="1038">
        <f ca="1">'Manufacturing Costs'!I637</f>
        <v>549.98190186297984</v>
      </c>
      <c r="J56" s="1038">
        <f ca="1">'Manufacturing Costs'!J637</f>
        <v>549.98190186297984</v>
      </c>
      <c r="K56" s="1038">
        <f ca="1">'Manufacturing Costs'!K637</f>
        <v>549.98190186297984</v>
      </c>
      <c r="L56" s="1038">
        <f ca="1">'Manufacturing Costs'!L637</f>
        <v>549.98190186297984</v>
      </c>
      <c r="M56" s="1038">
        <f ca="1">'Manufacturing Costs'!M637</f>
        <v>549.98190186297984</v>
      </c>
      <c r="N56" s="562"/>
    </row>
    <row r="57" spans="2:21" x14ac:dyDescent="0.15">
      <c r="B57" s="8" t="s">
        <v>1518</v>
      </c>
      <c r="C57" s="95"/>
      <c r="D57" s="8"/>
      <c r="E57" s="8"/>
      <c r="F57" s="375"/>
      <c r="G57" s="1038">
        <f ca="1">'Manufacturing Costs'!G638</f>
        <v>653.75385021510226</v>
      </c>
      <c r="H57" s="1038">
        <f ca="1">'Manufacturing Costs'!H638</f>
        <v>653.75385021510226</v>
      </c>
      <c r="I57" s="1038">
        <f ca="1">'Manufacturing Costs'!I638</f>
        <v>653.75385021510226</v>
      </c>
      <c r="J57" s="1038">
        <f ca="1">'Manufacturing Costs'!J638</f>
        <v>653.75385021510226</v>
      </c>
      <c r="K57" s="1038">
        <f ca="1">'Manufacturing Costs'!K638</f>
        <v>653.75385021510226</v>
      </c>
      <c r="L57" s="1038">
        <f ca="1">'Manufacturing Costs'!L638</f>
        <v>653.75385021510226</v>
      </c>
      <c r="M57" s="1038">
        <f ca="1">'Manufacturing Costs'!M638</f>
        <v>653.75385021510226</v>
      </c>
    </row>
    <row r="58" spans="2:21" x14ac:dyDescent="0.15">
      <c r="B58" s="8" t="s">
        <v>1519</v>
      </c>
      <c r="C58" s="95"/>
      <c r="D58" s="8"/>
      <c r="E58" s="8"/>
      <c r="F58" s="375"/>
      <c r="G58" s="1038">
        <f t="shared" ref="G58:M58" ca="1" si="4">SUM(G46:G57)</f>
        <v>12327.929746913358</v>
      </c>
      <c r="H58" s="1038">
        <f t="shared" ca="1" si="4"/>
        <v>12327.929746913358</v>
      </c>
      <c r="I58" s="1038">
        <f t="shared" ca="1" si="4"/>
        <v>12327.929746913358</v>
      </c>
      <c r="J58" s="1038">
        <f t="shared" ca="1" si="4"/>
        <v>12327.929746913358</v>
      </c>
      <c r="K58" s="1038">
        <f t="shared" ca="1" si="4"/>
        <v>12327.929746913358</v>
      </c>
      <c r="L58" s="1038">
        <f t="shared" ca="1" si="4"/>
        <v>12327.929746913358</v>
      </c>
      <c r="M58" s="1038">
        <f t="shared" ca="1" si="4"/>
        <v>12327.929746913358</v>
      </c>
      <c r="O58" s="112"/>
      <c r="P58" s="112"/>
      <c r="Q58" s="112"/>
      <c r="R58" s="112"/>
      <c r="S58" s="112"/>
      <c r="T58" s="112"/>
      <c r="U58" s="112"/>
    </row>
    <row r="59" spans="2:21" x14ac:dyDescent="0.15">
      <c r="B59" s="8"/>
      <c r="C59" s="95"/>
      <c r="D59" s="8"/>
      <c r="E59" s="8"/>
      <c r="F59" s="375"/>
      <c r="G59" s="95"/>
      <c r="H59" s="95"/>
      <c r="I59" s="95"/>
      <c r="J59" s="95"/>
      <c r="K59" s="95"/>
      <c r="L59" s="95"/>
      <c r="M59" s="95"/>
      <c r="O59" s="112"/>
      <c r="P59" s="112"/>
      <c r="Q59" s="112"/>
      <c r="R59" s="112"/>
      <c r="S59" s="112"/>
      <c r="T59" s="112"/>
      <c r="U59" s="112"/>
    </row>
    <row r="60" spans="2:21" ht="14" thickBot="1" x14ac:dyDescent="0.2">
      <c r="G60" s="427"/>
      <c r="H60" s="427"/>
      <c r="I60" s="427"/>
      <c r="J60" s="427"/>
      <c r="K60" s="427"/>
      <c r="L60" s="427"/>
      <c r="M60" s="427"/>
    </row>
    <row r="61" spans="2:21" ht="21" thickBot="1" x14ac:dyDescent="0.25">
      <c r="B61" s="1262" t="s">
        <v>1520</v>
      </c>
      <c r="C61" s="1263"/>
      <c r="D61" s="1263"/>
      <c r="E61" s="1263"/>
      <c r="F61" s="1263"/>
      <c r="G61" s="1263"/>
      <c r="H61" s="1263"/>
      <c r="I61" s="1263"/>
      <c r="J61" s="1263"/>
      <c r="K61" s="1263"/>
      <c r="L61" s="1263"/>
      <c r="M61" s="1264"/>
      <c r="N61" s="8"/>
    </row>
    <row r="63" spans="2:21" ht="16" x14ac:dyDescent="0.2">
      <c r="B63" s="5" t="s">
        <v>1521</v>
      </c>
      <c r="C63" s="26"/>
      <c r="D63" s="26"/>
      <c r="E63" s="26"/>
      <c r="F63" s="26"/>
      <c r="G63" s="1214"/>
      <c r="H63" s="1214"/>
      <c r="I63" s="1214"/>
      <c r="J63" s="1214"/>
      <c r="K63" s="1214"/>
      <c r="L63" s="1214"/>
      <c r="M63" s="1214"/>
    </row>
    <row r="64" spans="2:21" x14ac:dyDescent="0.15">
      <c r="B64" t="s">
        <v>1522</v>
      </c>
      <c r="C64" s="26"/>
      <c r="D64" s="26"/>
      <c r="E64" s="26"/>
      <c r="F64" s="26"/>
      <c r="G64" s="367">
        <f>'Cost Input'!$F118</f>
        <v>1.8664800000000001</v>
      </c>
      <c r="H64" s="367">
        <f>'Cost Input'!$F118</f>
        <v>1.8664800000000001</v>
      </c>
      <c r="I64" s="367">
        <f>'Cost Input'!$F118</f>
        <v>1.8664800000000001</v>
      </c>
      <c r="J64" s="367">
        <f>'Cost Input'!$F118</f>
        <v>1.8664800000000001</v>
      </c>
      <c r="K64" s="367">
        <f>'Cost Input'!$F118</f>
        <v>1.8664800000000001</v>
      </c>
      <c r="L64" s="367">
        <f>'Cost Input'!$F118</f>
        <v>1.8664800000000001</v>
      </c>
      <c r="M64" s="367">
        <f>'Cost Input'!$F118</f>
        <v>1.8664800000000001</v>
      </c>
      <c r="N64" s="562"/>
    </row>
    <row r="65" spans="2:15" x14ac:dyDescent="0.15">
      <c r="B65" s="8" t="s">
        <v>1523</v>
      </c>
      <c r="G65" s="1040">
        <f ca="1">'Manufacturing Costs'!G408*'Cost Input'!$F$93*G$64/Dashboard!D$110*(1-Lists!$C$154)*'Manufacturing Costs'!G$29</f>
        <v>108.16810534763628</v>
      </c>
      <c r="H65" s="1040">
        <f ca="1">'Manufacturing Costs'!H408*'Cost Input'!$F$93*H$64/Dashboard!E$110*(1-Lists!$C$154)*'Manufacturing Costs'!H$29</f>
        <v>108.16810534763628</v>
      </c>
      <c r="I65" s="1040">
        <f ca="1">'Manufacturing Costs'!I408*'Cost Input'!$F$93*I$64/Dashboard!F$110*(1-Lists!$C$154)*'Manufacturing Costs'!I$29</f>
        <v>108.16810534763628</v>
      </c>
      <c r="J65" s="1040">
        <f ca="1">'Manufacturing Costs'!J408*'Cost Input'!$F$93*J$64/Dashboard!G$110*(1-Lists!$C$154)*'Manufacturing Costs'!J$29</f>
        <v>108.16810534763628</v>
      </c>
      <c r="K65" s="1040">
        <f ca="1">'Manufacturing Costs'!K408*'Cost Input'!$F$93*K$64/Dashboard!H$110*(1-Lists!$C$154)*'Manufacturing Costs'!K$29</f>
        <v>108.16810534763628</v>
      </c>
      <c r="L65" s="1040">
        <f ca="1">'Manufacturing Costs'!L408*'Cost Input'!$F$93*L$64/Dashboard!I$110*(1-Lists!$C$154)*'Manufacturing Costs'!L$29</f>
        <v>108.16810534763628</v>
      </c>
      <c r="M65" s="1040">
        <f ca="1">'Manufacturing Costs'!M408*'Cost Input'!$F$93*M$64/Dashboard!J$110*(1-Lists!$C$154)*'Manufacturing Costs'!M$29</f>
        <v>108.16810534763628</v>
      </c>
    </row>
    <row r="66" spans="2:15" x14ac:dyDescent="0.15">
      <c r="B66" s="8" t="s">
        <v>1524</v>
      </c>
      <c r="G66" s="1040">
        <f ca="1">'Manufacturing Costs'!G409*'Cost Input'!$F$93*G$64/Dashboard!D$110*(1-Lists!$C$154)*'Manufacturing Costs'!G$29</f>
        <v>137.17868947955057</v>
      </c>
      <c r="H66" s="1040">
        <f ca="1">'Manufacturing Costs'!H409*'Cost Input'!$F$93*H$64/Dashboard!E$110*(1-Lists!$C$154)*'Manufacturing Costs'!H$29</f>
        <v>137.17868947955057</v>
      </c>
      <c r="I66" s="1040">
        <f ca="1">'Manufacturing Costs'!I409*'Cost Input'!$F$93*I$64/Dashboard!F$110*(1-Lists!$C$154)*'Manufacturing Costs'!I$29</f>
        <v>137.17868947955057</v>
      </c>
      <c r="J66" s="1040">
        <f ca="1">'Manufacturing Costs'!J409*'Cost Input'!$F$93*J$64/Dashboard!G$110*(1-Lists!$C$154)*'Manufacturing Costs'!J$29</f>
        <v>137.17868947955057</v>
      </c>
      <c r="K66" s="1040">
        <f ca="1">'Manufacturing Costs'!K409*'Cost Input'!$F$93*K$64/Dashboard!H$110*(1-Lists!$C$154)*'Manufacturing Costs'!K$29</f>
        <v>137.17868947955057</v>
      </c>
      <c r="L66" s="1040">
        <f ca="1">'Manufacturing Costs'!L409*'Cost Input'!$F$93*L$64/Dashboard!I$110*(1-Lists!$C$154)*'Manufacturing Costs'!L$29</f>
        <v>137.17868947955057</v>
      </c>
      <c r="M66" s="1040">
        <f ca="1">'Manufacturing Costs'!M409*'Cost Input'!$F$93*M$64/Dashboard!J$110*(1-Lists!$C$154)*'Manufacturing Costs'!M$29</f>
        <v>137.17868947955057</v>
      </c>
    </row>
    <row r="67" spans="2:15" x14ac:dyDescent="0.15">
      <c r="B67" s="8" t="s">
        <v>1525</v>
      </c>
      <c r="G67" s="1040">
        <f ca="1">'Manufacturing Costs'!G410*'Cost Input'!$F$93*G$64/Dashboard!D$110*(1-Lists!$C$154)*'Manufacturing Costs'!G$29</f>
        <v>52.16540285131785</v>
      </c>
      <c r="H67" s="1040">
        <f ca="1">'Manufacturing Costs'!H410*'Cost Input'!$F$93*H$64/Dashboard!E$110*(1-Lists!$C$154)*'Manufacturing Costs'!H$29</f>
        <v>52.16540285131785</v>
      </c>
      <c r="I67" s="1040">
        <f ca="1">'Manufacturing Costs'!I410*'Cost Input'!$F$93*I$64/Dashboard!F$110*(1-Lists!$C$154)*'Manufacturing Costs'!I$29</f>
        <v>52.16540285131785</v>
      </c>
      <c r="J67" s="1040">
        <f ca="1">'Manufacturing Costs'!J410*'Cost Input'!$F$93*J$64/Dashboard!G$110*(1-Lists!$C$154)*'Manufacturing Costs'!J$29</f>
        <v>52.16540285131785</v>
      </c>
      <c r="K67" s="1040">
        <f ca="1">'Manufacturing Costs'!K410*'Cost Input'!$F$93*K$64/Dashboard!H$110*(1-Lists!$C$154)*'Manufacturing Costs'!K$29</f>
        <v>52.16540285131785</v>
      </c>
      <c r="L67" s="1040">
        <f ca="1">'Manufacturing Costs'!L410*'Cost Input'!$F$93*L$64/Dashboard!I$110*(1-Lists!$C$154)*'Manufacturing Costs'!L$29</f>
        <v>52.16540285131785</v>
      </c>
      <c r="M67" s="1040">
        <f ca="1">'Manufacturing Costs'!M410*'Cost Input'!$F$93*M$64/Dashboard!J$110*(1-Lists!$C$154)*'Manufacturing Costs'!M$29</f>
        <v>52.16540285131785</v>
      </c>
      <c r="N67" s="8"/>
    </row>
    <row r="68" spans="2:15" x14ac:dyDescent="0.15">
      <c r="B68" s="8" t="s">
        <v>1526</v>
      </c>
      <c r="G68" s="1040">
        <f>'Manufacturing Costs'!G411*'Cost Input'!$F$93*G$64/Dashboard!D$110</f>
        <v>15.865080000000003</v>
      </c>
      <c r="H68" s="1040">
        <f>'Manufacturing Costs'!H411*'Cost Input'!$F$93*H$64/Dashboard!E$110</f>
        <v>15.865080000000003</v>
      </c>
      <c r="I68" s="1040">
        <f>'Manufacturing Costs'!I411*'Cost Input'!$F$93*I$64/Dashboard!F$110</f>
        <v>15.865080000000003</v>
      </c>
      <c r="J68" s="1040">
        <f>'Manufacturing Costs'!J411*'Cost Input'!$F$93*J$64/Dashboard!G$110</f>
        <v>15.865080000000003</v>
      </c>
      <c r="K68" s="1040">
        <f>'Manufacturing Costs'!K411*'Cost Input'!$F$93*K$64/Dashboard!H$110</f>
        <v>15.865080000000003</v>
      </c>
      <c r="L68" s="1040">
        <f>'Manufacturing Costs'!L411*'Cost Input'!$F$93*L$64/Dashboard!I$110</f>
        <v>15.865080000000003</v>
      </c>
      <c r="M68" s="1040">
        <f>'Manufacturing Costs'!M411*'Cost Input'!$F$93*M$64/Dashboard!J$110</f>
        <v>15.865080000000003</v>
      </c>
    </row>
    <row r="69" spans="2:15" x14ac:dyDescent="0.15">
      <c r="B69" s="8" t="s">
        <v>1527</v>
      </c>
      <c r="G69" s="1040">
        <f>'Manufacturing Costs'!G412*'Cost Input'!$F$93*G$64/Dashboard!D$110</f>
        <v>15.865080000000003</v>
      </c>
      <c r="H69" s="1040">
        <f>'Manufacturing Costs'!H412*'Cost Input'!$F$93*H$64/Dashboard!E$110</f>
        <v>15.865080000000003</v>
      </c>
      <c r="I69" s="1040">
        <f>'Manufacturing Costs'!I412*'Cost Input'!$F$93*I$64/Dashboard!F$110</f>
        <v>15.865080000000003</v>
      </c>
      <c r="J69" s="1040">
        <f>'Manufacturing Costs'!J412*'Cost Input'!$F$93*J$64/Dashboard!G$110</f>
        <v>15.865080000000003</v>
      </c>
      <c r="K69" s="1040">
        <f>'Manufacturing Costs'!K412*'Cost Input'!$F$93*K$64/Dashboard!H$110</f>
        <v>15.865080000000003</v>
      </c>
      <c r="L69" s="1040">
        <f>'Manufacturing Costs'!L412*'Cost Input'!$F$93*L$64/Dashboard!I$110</f>
        <v>15.865080000000003</v>
      </c>
      <c r="M69" s="1040">
        <f>'Manufacturing Costs'!M412*'Cost Input'!$F$93*M$64/Dashboard!J$110</f>
        <v>15.865080000000003</v>
      </c>
    </row>
    <row r="70" spans="2:15" x14ac:dyDescent="0.15">
      <c r="B70" s="8" t="s">
        <v>1528</v>
      </c>
      <c r="G70" s="1040">
        <f ca="1">'Manufacturing Costs'!G413*'Cost Input'!$F$93*G$64/Dashboard!D$110*((1-'Manufacturing Costs'!G27)+'Manufacturing Costs'!G27*(1-Lists!$C$154)*'Manufacturing Costs'!G29)</f>
        <v>1.2132120000002977</v>
      </c>
      <c r="H70" s="1040">
        <f ca="1">'Manufacturing Costs'!H413*'Cost Input'!$F$93*H$64/Dashboard!E$110*((1-'Manufacturing Costs'!H27)+'Manufacturing Costs'!H27*(1-Lists!$C$154)*'Manufacturing Costs'!H29)</f>
        <v>1.2132120000002977</v>
      </c>
      <c r="I70" s="1040">
        <f ca="1">'Manufacturing Costs'!I413*'Cost Input'!$F$93*I$64/Dashboard!F$110*((1-'Manufacturing Costs'!I27)+'Manufacturing Costs'!I27*(1-Lists!$C$154)*'Manufacturing Costs'!I29)</f>
        <v>1.2132120000002977</v>
      </c>
      <c r="J70" s="1040">
        <f ca="1">'Manufacturing Costs'!J413*'Cost Input'!$F$93*J$64/Dashboard!G$110*((1-'Manufacturing Costs'!J27)+'Manufacturing Costs'!J27*(1-Lists!$C$154)*'Manufacturing Costs'!J29)</f>
        <v>1.2132120000002977</v>
      </c>
      <c r="K70" s="1040">
        <f ca="1">'Manufacturing Costs'!K413*'Cost Input'!$F$93*K$64/Dashboard!H$110*((1-'Manufacturing Costs'!K27)+'Manufacturing Costs'!K27*(1-Lists!$C$154)*'Manufacturing Costs'!K29)</f>
        <v>1.2132120000002977</v>
      </c>
      <c r="L70" s="1040">
        <f ca="1">'Manufacturing Costs'!L413*'Cost Input'!$F$93*L$64/Dashboard!I$110*((1-'Manufacturing Costs'!L27)+'Manufacturing Costs'!L27*(1-Lists!$C$154)*'Manufacturing Costs'!L29)</f>
        <v>1.2132120000002977</v>
      </c>
      <c r="M70" s="1040">
        <f ca="1">'Manufacturing Costs'!M413*'Cost Input'!$F$93*M$64/Dashboard!J$110*((1-'Manufacturing Costs'!M27)+'Manufacturing Costs'!M27*(1-Lists!$C$154)*'Manufacturing Costs'!M29)</f>
        <v>1.2132120000002977</v>
      </c>
      <c r="N70" s="8"/>
    </row>
    <row r="71" spans="2:15" x14ac:dyDescent="0.15">
      <c r="B71" s="8" t="s">
        <v>1529</v>
      </c>
      <c r="G71" s="1040">
        <f ca="1">'Manufacturing Costs'!G414*'Cost Input'!$F$93*G$64/Dashboard!D$110*(1-Lists!$C$154)*'Manufacturing Costs'!G29</f>
        <v>9.507238894357311</v>
      </c>
      <c r="H71" s="1040">
        <f ca="1">'Manufacturing Costs'!H414*'Cost Input'!$F$93*H$64/Dashboard!E$110*(1-Lists!$C$154)*'Manufacturing Costs'!H29</f>
        <v>9.507238894357311</v>
      </c>
      <c r="I71" s="1040">
        <f ca="1">'Manufacturing Costs'!I414*'Cost Input'!$F$93*I$64/Dashboard!F$110*(1-Lists!$C$154)*'Manufacturing Costs'!I29</f>
        <v>9.507238894357311</v>
      </c>
      <c r="J71" s="1040">
        <f ca="1">'Manufacturing Costs'!J414*'Cost Input'!$F$93*J$64/Dashboard!G$110*(1-Lists!$C$154)*'Manufacturing Costs'!J29</f>
        <v>9.507238894357311</v>
      </c>
      <c r="K71" s="1040">
        <f ca="1">'Manufacturing Costs'!K414*'Cost Input'!$F$93*K$64/Dashboard!H$110*(1-Lists!$C$154)*'Manufacturing Costs'!K29</f>
        <v>9.507238894357311</v>
      </c>
      <c r="L71" s="1040">
        <f ca="1">'Manufacturing Costs'!L414*'Cost Input'!$F$93*L$64/Dashboard!I$110*(1-Lists!$C$154)*'Manufacturing Costs'!L29</f>
        <v>9.507238894357311</v>
      </c>
      <c r="M71" s="1040">
        <f ca="1">'Manufacturing Costs'!M414*'Cost Input'!$F$93*M$64/Dashboard!J$110*(1-Lists!$C$154)*'Manufacturing Costs'!M29</f>
        <v>9.507238894357311</v>
      </c>
      <c r="N71" s="8"/>
      <c r="O71" s="20"/>
    </row>
    <row r="72" spans="2:15" x14ac:dyDescent="0.15">
      <c r="B72" s="800" t="s">
        <v>1530</v>
      </c>
      <c r="D72" s="800"/>
      <c r="G72" s="1040">
        <f t="shared" ref="G72:M72" ca="1" si="5">SUM(G65:G71)</f>
        <v>339.96280857286223</v>
      </c>
      <c r="H72" s="1040">
        <f t="shared" ca="1" si="5"/>
        <v>339.96280857286223</v>
      </c>
      <c r="I72" s="1040">
        <f t="shared" ca="1" si="5"/>
        <v>339.96280857286223</v>
      </c>
      <c r="J72" s="1040">
        <f t="shared" ca="1" si="5"/>
        <v>339.96280857286223</v>
      </c>
      <c r="K72" s="1040">
        <f t="shared" ca="1" si="5"/>
        <v>339.96280857286223</v>
      </c>
      <c r="L72" s="1040">
        <f t="shared" ca="1" si="5"/>
        <v>339.96280857286223</v>
      </c>
      <c r="M72" s="1040">
        <f t="shared" ca="1" si="5"/>
        <v>339.96280857286223</v>
      </c>
    </row>
    <row r="73" spans="2:15" x14ac:dyDescent="0.15">
      <c r="B73" s="800"/>
      <c r="D73" s="800"/>
      <c r="G73" s="367"/>
      <c r="H73" s="367"/>
      <c r="I73" s="367"/>
      <c r="J73" s="367"/>
      <c r="K73" s="367"/>
      <c r="L73" s="367"/>
      <c r="M73" s="367"/>
    </row>
    <row r="74" spans="2:15" ht="16" x14ac:dyDescent="0.2">
      <c r="B74" s="5" t="s">
        <v>1531</v>
      </c>
    </row>
    <row r="75" spans="2:15" x14ac:dyDescent="0.15">
      <c r="B75" t="s">
        <v>1532</v>
      </c>
      <c r="G75" s="1034">
        <f>'Cost Input'!$F119</f>
        <v>0.23361189437406757</v>
      </c>
      <c r="H75" s="1034">
        <f>'Cost Input'!$F119</f>
        <v>0.23361189437406757</v>
      </c>
      <c r="I75" s="1034">
        <f>'Cost Input'!$F119</f>
        <v>0.23361189437406757</v>
      </c>
      <c r="J75" s="1034">
        <f>'Cost Input'!$F119</f>
        <v>0.23361189437406757</v>
      </c>
      <c r="K75" s="1034">
        <f>'Cost Input'!$F119</f>
        <v>0.23361189437406757</v>
      </c>
      <c r="L75" s="1034">
        <f>'Cost Input'!$F119</f>
        <v>0.23361189437406757</v>
      </c>
      <c r="M75" s="1034">
        <f>'Cost Input'!$F119</f>
        <v>0.23361189437406757</v>
      </c>
    </row>
    <row r="76" spans="2:15" x14ac:dyDescent="0.15">
      <c r="B76" s="8" t="s">
        <v>1523</v>
      </c>
      <c r="F76" s="64"/>
      <c r="G76" s="1040">
        <f ca="1">'Manufacturing Costs'!G418*1000000*G$75/Dashboard!D$110*(1-Lists!$C$154)*'Manufacturing Costs'!G$29</f>
        <v>271.58386721540256</v>
      </c>
      <c r="H76" s="1040">
        <f ca="1">'Manufacturing Costs'!H418*1000000*H$75/Dashboard!E$110*(1-Lists!$C$154)*'Manufacturing Costs'!H$29</f>
        <v>271.58386721540256</v>
      </c>
      <c r="I76" s="1040">
        <f ca="1">'Manufacturing Costs'!I418*1000000*I$75/Dashboard!F$110*(1-Lists!$C$154)*'Manufacturing Costs'!I$29</f>
        <v>271.58386721540256</v>
      </c>
      <c r="J76" s="1040">
        <f ca="1">'Manufacturing Costs'!J418*1000000*J$75/Dashboard!G$110*(1-Lists!$C$154)*'Manufacturing Costs'!J$29</f>
        <v>271.58386721540256</v>
      </c>
      <c r="K76" s="1040">
        <f ca="1">'Manufacturing Costs'!K418*1000000*K$75/Dashboard!H$110*(1-Lists!$C$154)*'Manufacturing Costs'!K$29</f>
        <v>271.58386721540256</v>
      </c>
      <c r="L76" s="1040">
        <f ca="1">'Manufacturing Costs'!L418*1000000*L$75/Dashboard!I$110*(1-Lists!$C$154)*'Manufacturing Costs'!L$29</f>
        <v>271.58386721540256</v>
      </c>
      <c r="M76" s="1040">
        <f ca="1">'Manufacturing Costs'!M418*1000000*M$75/Dashboard!J$110*(1-Lists!$C$154)*'Manufacturing Costs'!M$29</f>
        <v>271.58386721540256</v>
      </c>
    </row>
    <row r="77" spans="2:15" x14ac:dyDescent="0.15">
      <c r="B77" s="8" t="s">
        <v>1524</v>
      </c>
      <c r="G77" s="1040">
        <f ca="1">'Manufacturing Costs'!G419*1000000*G$75/Dashboard!D$110*(1-Lists!$C$154)*'Manufacturing Costs'!G$29</f>
        <v>211.95808533270312</v>
      </c>
      <c r="H77" s="1040">
        <f ca="1">'Manufacturing Costs'!H419*1000000*H$75/Dashboard!E$110*(1-Lists!$C$154)*'Manufacturing Costs'!H$29</f>
        <v>211.95808533270312</v>
      </c>
      <c r="I77" s="1040">
        <f ca="1">'Manufacturing Costs'!I419*1000000*I$75/Dashboard!F$110*(1-Lists!$C$154)*'Manufacturing Costs'!I$29</f>
        <v>211.95808533270312</v>
      </c>
      <c r="J77" s="1040">
        <f ca="1">'Manufacturing Costs'!J419*1000000*J$75/Dashboard!G$110*(1-Lists!$C$154)*'Manufacturing Costs'!J$29</f>
        <v>211.95808533270312</v>
      </c>
      <c r="K77" s="1040">
        <f ca="1">'Manufacturing Costs'!K419*1000000*K$75/Dashboard!H$110*(1-Lists!$C$154)*'Manufacturing Costs'!K$29</f>
        <v>211.95808533270312</v>
      </c>
      <c r="L77" s="1040">
        <f ca="1">'Manufacturing Costs'!L419*1000000*L$75/Dashboard!I$110*(1-Lists!$C$154)*'Manufacturing Costs'!L$29</f>
        <v>211.95808533270312</v>
      </c>
      <c r="M77" s="1040">
        <f ca="1">'Manufacturing Costs'!M419*1000000*M$75/Dashboard!J$110*(1-Lists!$C$154)*'Manufacturing Costs'!M$29</f>
        <v>211.95808533270312</v>
      </c>
    </row>
    <row r="78" spans="2:15" x14ac:dyDescent="0.15">
      <c r="B78" s="8" t="s">
        <v>1525</v>
      </c>
      <c r="G78" s="1040">
        <f ca="1">'Manufacturing Costs'!G420*1000000*G$75/Dashboard!D$110*(1-Lists!$C$154)*'Manufacturing Costs'!G$29</f>
        <v>355.91643598799908</v>
      </c>
      <c r="H78" s="1040">
        <f ca="1">'Manufacturing Costs'!H420*1000000*H$75/Dashboard!E$110*(1-Lists!$C$154)*'Manufacturing Costs'!H$29</f>
        <v>355.91643598799908</v>
      </c>
      <c r="I78" s="1040">
        <f ca="1">'Manufacturing Costs'!I420*1000000*I$75/Dashboard!F$110*(1-Lists!$C$154)*'Manufacturing Costs'!I$29</f>
        <v>355.91643598799908</v>
      </c>
      <c r="J78" s="1040">
        <f ca="1">'Manufacturing Costs'!J420*1000000*J$75/Dashboard!G$110*(1-Lists!$C$154)*'Manufacturing Costs'!J$29</f>
        <v>355.91643598799908</v>
      </c>
      <c r="K78" s="1040">
        <f ca="1">'Manufacturing Costs'!K420*1000000*K$75/Dashboard!H$110*(1-Lists!$C$154)*'Manufacturing Costs'!K$29</f>
        <v>355.91643598799908</v>
      </c>
      <c r="L78" s="1040">
        <f ca="1">'Manufacturing Costs'!L420*1000000*L$75/Dashboard!I$110*(1-Lists!$C$154)*'Manufacturing Costs'!L$29</f>
        <v>355.91643598799908</v>
      </c>
      <c r="M78" s="1040">
        <f ca="1">'Manufacturing Costs'!M420*1000000*M$75/Dashboard!J$110*(1-Lists!$C$154)*'Manufacturing Costs'!M$29</f>
        <v>355.91643598799908</v>
      </c>
      <c r="N78" s="8"/>
    </row>
    <row r="79" spans="2:15" x14ac:dyDescent="0.15">
      <c r="B79" s="8" t="s">
        <v>1526</v>
      </c>
      <c r="G79" s="1040">
        <f>'Manufacturing Costs'!G421*1000000*G$75/Dashboard!D$110</f>
        <v>47.283047421311274</v>
      </c>
      <c r="H79" s="1040">
        <f>'Manufacturing Costs'!H421*1000000*H$75/Dashboard!E$110</f>
        <v>47.283047421311274</v>
      </c>
      <c r="I79" s="1040">
        <f>'Manufacturing Costs'!I421*1000000*I$75/Dashboard!F$110</f>
        <v>47.283047421311274</v>
      </c>
      <c r="J79" s="1040">
        <f>'Manufacturing Costs'!J421*1000000*J$75/Dashboard!G$110</f>
        <v>47.283047421311274</v>
      </c>
      <c r="K79" s="1040">
        <f>'Manufacturing Costs'!K421*1000000*K$75/Dashboard!H$110</f>
        <v>47.283047421311274</v>
      </c>
      <c r="L79" s="1040">
        <f>'Manufacturing Costs'!L421*1000000*L$75/Dashboard!I$110</f>
        <v>47.283047421311274</v>
      </c>
      <c r="M79" s="1040">
        <f>'Manufacturing Costs'!M421*1000000*M$75/Dashboard!J$110</f>
        <v>47.283047421311274</v>
      </c>
    </row>
    <row r="80" spans="2:15" x14ac:dyDescent="0.15">
      <c r="B80" s="8" t="s">
        <v>1527</v>
      </c>
      <c r="G80" s="1040">
        <f>'Manufacturing Costs'!G422*1000000*G$75/Dashboard!D$110</f>
        <v>40.405513250938725</v>
      </c>
      <c r="H80" s="1040">
        <f>'Manufacturing Costs'!H422*1000000*H$75/Dashboard!E$110</f>
        <v>40.405513250938725</v>
      </c>
      <c r="I80" s="1040">
        <f>'Manufacturing Costs'!I422*1000000*I$75/Dashboard!F$110</f>
        <v>40.405513250938725</v>
      </c>
      <c r="J80" s="1040">
        <f>'Manufacturing Costs'!J422*1000000*J$75/Dashboard!G$110</f>
        <v>40.405513250938725</v>
      </c>
      <c r="K80" s="1040">
        <f>'Manufacturing Costs'!K422*1000000*K$75/Dashboard!H$110</f>
        <v>40.405513250938725</v>
      </c>
      <c r="L80" s="1040">
        <f>'Manufacturing Costs'!L422*1000000*L$75/Dashboard!I$110</f>
        <v>40.405513250938725</v>
      </c>
      <c r="M80" s="1040">
        <f>'Manufacturing Costs'!M422*1000000*M$75/Dashboard!J$110</f>
        <v>40.405513250938725</v>
      </c>
    </row>
    <row r="81" spans="2:15" x14ac:dyDescent="0.15">
      <c r="B81" s="8" t="s">
        <v>1528</v>
      </c>
      <c r="G81" s="1040">
        <f ca="1">'Manufacturing Costs'!G423*1000000*G$75/Dashboard!D$110*((1-'Manufacturing Costs'!G27)+'Manufacturing Costs'!G27*(1-Lists!$C$154)*'Manufacturing Costs'!G$29)</f>
        <v>79.428044087209415</v>
      </c>
      <c r="H81" s="1040">
        <f ca="1">'Manufacturing Costs'!H423*1000000*H$75/Dashboard!E$110*((1-'Manufacturing Costs'!H27)+'Manufacturing Costs'!H27*(1-Lists!$C$154)*'Manufacturing Costs'!H$29)</f>
        <v>79.428044087209415</v>
      </c>
      <c r="I81" s="1040">
        <f ca="1">'Manufacturing Costs'!I423*1000000*I$75/Dashboard!F$110*((1-'Manufacturing Costs'!I27)+'Manufacturing Costs'!I27*(1-Lists!$C$154)*'Manufacturing Costs'!I$29)</f>
        <v>79.428044087209415</v>
      </c>
      <c r="J81" s="1040">
        <f ca="1">'Manufacturing Costs'!J423*1000000*J$75/Dashboard!G$110*((1-'Manufacturing Costs'!J27)+'Manufacturing Costs'!J27*(1-Lists!$C$154)*'Manufacturing Costs'!J$29)</f>
        <v>79.428044087209415</v>
      </c>
      <c r="K81" s="1040">
        <f ca="1">'Manufacturing Costs'!K423*1000000*K$75/Dashboard!H$110*((1-'Manufacturing Costs'!K27)+'Manufacturing Costs'!K27*(1-Lists!$C$154)*'Manufacturing Costs'!K$29)</f>
        <v>79.428044087209415</v>
      </c>
      <c r="L81" s="1040">
        <f ca="1">'Manufacturing Costs'!L423*1000000*L$75/Dashboard!I$110*((1-'Manufacturing Costs'!L27)+'Manufacturing Costs'!L27*(1-Lists!$C$154)*'Manufacturing Costs'!L$29)</f>
        <v>79.428044087209415</v>
      </c>
      <c r="M81" s="1040">
        <f ca="1">'Manufacturing Costs'!M423*1000000*M$75/Dashboard!J$110*((1-'Manufacturing Costs'!M27)+'Manufacturing Costs'!M27*(1-Lists!$C$154)*'Manufacturing Costs'!M$29)</f>
        <v>79.428044087209415</v>
      </c>
      <c r="N81" s="8"/>
    </row>
    <row r="82" spans="2:15" x14ac:dyDescent="0.15">
      <c r="B82" s="8" t="s">
        <v>1529</v>
      </c>
      <c r="G82" s="1040">
        <f ca="1">('Manufacturing Costs'!G424-SUM('Manufacturing Costs'!G379,'Manufacturing Costs'!G372,'Manufacturing Costs'!G365,'Manufacturing Costs'!G387,'Manufacturing Costs'!G394*'Manufacturing Costs'!G451/'Manufacturing Costs'!G445,'Manufacturing Costs'!G401*'Manufacturing Costs'!G28)*Lists!$C$154-SUM('Manufacturing Costs'!G365,'Manufacturing Costs'!G372,'Manufacturing Costs'!G379,'Manufacturing Costs'!G387,'Manufacturing Costs'!G394*'Manufacturing Costs'!G451/'Manufacturing Costs'!G445,'Manufacturing Costs'!G401*'Manufacturing Costs'!G28)*IF(_manufact_method=2,(1-'Manufacturing Costs'!G29),0))*1000000*G$75/Dashboard!D$110</f>
        <v>684.76125571118064</v>
      </c>
      <c r="H82" s="1040">
        <f ca="1">('Manufacturing Costs'!H424-SUM('Manufacturing Costs'!H379,'Manufacturing Costs'!H372,'Manufacturing Costs'!H365,'Manufacturing Costs'!H387,'Manufacturing Costs'!H394*'Manufacturing Costs'!H451/'Manufacturing Costs'!H445,'Manufacturing Costs'!H401*'Manufacturing Costs'!H28)*Lists!$C$154-SUM('Manufacturing Costs'!H365,'Manufacturing Costs'!H372,'Manufacturing Costs'!H379,'Manufacturing Costs'!H387,'Manufacturing Costs'!H394*'Manufacturing Costs'!H451/'Manufacturing Costs'!H445,'Manufacturing Costs'!H401*'Manufacturing Costs'!H28)*IF(_manufact_method=2,(1-'Manufacturing Costs'!H29),0))*1000000*H$75/Dashboard!E$110</f>
        <v>684.76125571118064</v>
      </c>
      <c r="I82" s="1040">
        <f ca="1">('Manufacturing Costs'!I424-SUM('Manufacturing Costs'!I379,'Manufacturing Costs'!I372,'Manufacturing Costs'!I365,'Manufacturing Costs'!I387,'Manufacturing Costs'!I394*'Manufacturing Costs'!I451/'Manufacturing Costs'!I445,'Manufacturing Costs'!I401*'Manufacturing Costs'!I28)*Lists!$C$154-SUM('Manufacturing Costs'!I365,'Manufacturing Costs'!I372,'Manufacturing Costs'!I379,'Manufacturing Costs'!I387,'Manufacturing Costs'!I394*'Manufacturing Costs'!I451/'Manufacturing Costs'!I445,'Manufacturing Costs'!I401*'Manufacturing Costs'!I28)*IF(_manufact_method=2,(1-'Manufacturing Costs'!I29),0))*1000000*I$75/Dashboard!F$110</f>
        <v>684.76125571118064</v>
      </c>
      <c r="J82" s="1040">
        <f ca="1">('Manufacturing Costs'!J424-SUM('Manufacturing Costs'!J379,'Manufacturing Costs'!J372,'Manufacturing Costs'!J365,'Manufacturing Costs'!J387,'Manufacturing Costs'!J394*'Manufacturing Costs'!J451/'Manufacturing Costs'!J445,'Manufacturing Costs'!J401*'Manufacturing Costs'!J28)*Lists!$C$154-SUM('Manufacturing Costs'!J365,'Manufacturing Costs'!J372,'Manufacturing Costs'!J379,'Manufacturing Costs'!J387,'Manufacturing Costs'!J394*'Manufacturing Costs'!J451/'Manufacturing Costs'!J445,'Manufacturing Costs'!J401*'Manufacturing Costs'!J28)*IF(_manufact_method=2,(1-'Manufacturing Costs'!J29),0))*1000000*J$75/Dashboard!G$110</f>
        <v>684.76125571118064</v>
      </c>
      <c r="K82" s="1040">
        <f ca="1">('Manufacturing Costs'!K424-SUM('Manufacturing Costs'!K379,'Manufacturing Costs'!K372,'Manufacturing Costs'!K365,'Manufacturing Costs'!K387,'Manufacturing Costs'!K394*'Manufacturing Costs'!K451/'Manufacturing Costs'!K445,'Manufacturing Costs'!K401*'Manufacturing Costs'!K28)*Lists!$C$154-SUM('Manufacturing Costs'!K365,'Manufacturing Costs'!K372,'Manufacturing Costs'!K379,'Manufacturing Costs'!K387,'Manufacturing Costs'!K394*'Manufacturing Costs'!K451/'Manufacturing Costs'!K445,'Manufacturing Costs'!K401*'Manufacturing Costs'!K28)*IF(_manufact_method=2,(1-'Manufacturing Costs'!K29),0))*1000000*K$75/Dashboard!H$110</f>
        <v>684.76125571118064</v>
      </c>
      <c r="L82" s="1040">
        <f ca="1">('Manufacturing Costs'!L424-SUM('Manufacturing Costs'!L379,'Manufacturing Costs'!L372,'Manufacturing Costs'!L365,'Manufacturing Costs'!L387,'Manufacturing Costs'!L394*'Manufacturing Costs'!L451/'Manufacturing Costs'!L445,'Manufacturing Costs'!L401*'Manufacturing Costs'!L28)*Lists!$C$154-SUM('Manufacturing Costs'!L365,'Manufacturing Costs'!L372,'Manufacturing Costs'!L379,'Manufacturing Costs'!L387,'Manufacturing Costs'!L394*'Manufacturing Costs'!L451/'Manufacturing Costs'!L445,'Manufacturing Costs'!L401*'Manufacturing Costs'!L28)*IF(_manufact_method=2,(1-'Manufacturing Costs'!L29),0))*1000000*L$75/Dashboard!I$110</f>
        <v>684.76125571118064</v>
      </c>
      <c r="M82" s="1040">
        <f ca="1">('Manufacturing Costs'!M424-SUM('Manufacturing Costs'!M379,'Manufacturing Costs'!M372,'Manufacturing Costs'!M365,'Manufacturing Costs'!M387,'Manufacturing Costs'!M394*'Manufacturing Costs'!M451/'Manufacturing Costs'!M445,'Manufacturing Costs'!M401*'Manufacturing Costs'!M28)*Lists!$C$154-SUM('Manufacturing Costs'!M365,'Manufacturing Costs'!M372,'Manufacturing Costs'!M379,'Manufacturing Costs'!M387,'Manufacturing Costs'!M394*'Manufacturing Costs'!M451/'Manufacturing Costs'!M445,'Manufacturing Costs'!M401*'Manufacturing Costs'!M28)*IF(_manufact_method=2,(1-'Manufacturing Costs'!M29),0))*1000000*M$75/Dashboard!J$110</f>
        <v>684.76125571118064</v>
      </c>
      <c r="N82" s="8"/>
    </row>
    <row r="83" spans="2:15" x14ac:dyDescent="0.15">
      <c r="B83" s="800" t="s">
        <v>286</v>
      </c>
      <c r="G83" s="1040">
        <f t="shared" ref="G83:M83" ca="1" si="6">SUM(G76:G82)</f>
        <v>1691.3362490067448</v>
      </c>
      <c r="H83" s="1040">
        <f t="shared" ca="1" si="6"/>
        <v>1691.3362490067448</v>
      </c>
      <c r="I83" s="1040">
        <f t="shared" ca="1" si="6"/>
        <v>1691.3362490067448</v>
      </c>
      <c r="J83" s="1040">
        <f t="shared" ca="1" si="6"/>
        <v>1691.3362490067448</v>
      </c>
      <c r="K83" s="1040">
        <f t="shared" ca="1" si="6"/>
        <v>1691.3362490067448</v>
      </c>
      <c r="L83" s="1040">
        <f t="shared" ca="1" si="6"/>
        <v>1691.3362490067448</v>
      </c>
      <c r="M83" s="1040">
        <f t="shared" ca="1" si="6"/>
        <v>1691.3362490067448</v>
      </c>
    </row>
    <row r="84" spans="2:15" x14ac:dyDescent="0.15">
      <c r="B84" s="800"/>
      <c r="G84" s="20"/>
      <c r="H84" s="20"/>
      <c r="I84" s="20"/>
      <c r="J84" s="20"/>
      <c r="K84" s="20"/>
      <c r="L84" s="20"/>
      <c r="M84" s="20"/>
    </row>
    <row r="85" spans="2:15" ht="16" x14ac:dyDescent="0.2">
      <c r="B85" s="5" t="s">
        <v>1533</v>
      </c>
    </row>
    <row r="86" spans="2:15" x14ac:dyDescent="0.15">
      <c r="B86" t="s">
        <v>1534</v>
      </c>
      <c r="G86" s="33">
        <f>'Cost Input'!$F$120</f>
        <v>0.18092513999999998</v>
      </c>
      <c r="H86" s="33">
        <f>'Cost Input'!$F$120</f>
        <v>0.18092513999999998</v>
      </c>
      <c r="I86" s="33">
        <f>'Cost Input'!$F$120</f>
        <v>0.18092513999999998</v>
      </c>
      <c r="J86" s="33">
        <f>'Cost Input'!$F$120</f>
        <v>0.18092513999999998</v>
      </c>
      <c r="K86" s="33">
        <f>'Cost Input'!$F$120</f>
        <v>0.18092513999999998</v>
      </c>
      <c r="L86" s="33">
        <f>'Cost Input'!$F$120</f>
        <v>0.18092513999999998</v>
      </c>
      <c r="M86" s="33">
        <f>'Cost Input'!$F$120</f>
        <v>0.18092513999999998</v>
      </c>
      <c r="O86" s="62"/>
    </row>
    <row r="87" spans="2:15" x14ac:dyDescent="0.15">
      <c r="B87" s="8" t="s">
        <v>1523</v>
      </c>
      <c r="F87" s="64"/>
      <c r="G87" s="1041">
        <f ca="1">'Manufacturing Costs'!G428*'Cost Input'!$F$84*G$86/Dashboard!D$110*(1-Lists!$C$154)*'Manufacturing Costs'!G$29</f>
        <v>20.540805178851752</v>
      </c>
      <c r="H87" s="1041">
        <f ca="1">'Manufacturing Costs'!H428*'Cost Input'!$F$84*H$86/Dashboard!E$110*(1-Lists!$C$154)*'Manufacturing Costs'!H$29</f>
        <v>20.540805178851752</v>
      </c>
      <c r="I87" s="1041">
        <f ca="1">'Manufacturing Costs'!I428*'Cost Input'!$F$84*I$86/Dashboard!F$110*(1-Lists!$C$154)*'Manufacturing Costs'!I$29</f>
        <v>20.540805178851752</v>
      </c>
      <c r="J87" s="1041">
        <f ca="1">'Manufacturing Costs'!J428*'Cost Input'!$F$84*J$86/Dashboard!G$110*(1-Lists!$C$154)*'Manufacturing Costs'!J$29</f>
        <v>20.540805178851752</v>
      </c>
      <c r="K87" s="1041">
        <f ca="1">'Manufacturing Costs'!K428*'Cost Input'!$F$84*K$86/Dashboard!H$110*(1-Lists!$C$154)*'Manufacturing Costs'!K$29</f>
        <v>20.540805178851752</v>
      </c>
      <c r="L87" s="1041">
        <f ca="1">'Manufacturing Costs'!L428*'Cost Input'!$F$84*L$86/Dashboard!I$110*(1-Lists!$C$154)*'Manufacturing Costs'!L$29</f>
        <v>20.540805178851752</v>
      </c>
      <c r="M87" s="1041">
        <f ca="1">'Manufacturing Costs'!M428*'Cost Input'!$F$84*M$86/Dashboard!J$110*(1-Lists!$C$154)*'Manufacturing Costs'!M$29</f>
        <v>20.540805178851752</v>
      </c>
    </row>
    <row r="88" spans="2:15" x14ac:dyDescent="0.15">
      <c r="B88" s="8" t="s">
        <v>1524</v>
      </c>
      <c r="F88" s="64"/>
      <c r="G88" s="1041">
        <f ca="1">'Manufacturing Costs'!G429*'Cost Input'!$F$84*G$86/Dashboard!D$110*(1-Lists!$C$154)*'Manufacturing Costs'!G$29</f>
        <v>16.606433320997898</v>
      </c>
      <c r="H88" s="1041">
        <f ca="1">'Manufacturing Costs'!H429*'Cost Input'!$F$84*H$86/Dashboard!E$110*(1-Lists!$C$154)*'Manufacturing Costs'!H$29</f>
        <v>16.606433320997898</v>
      </c>
      <c r="I88" s="1041">
        <f ca="1">'Manufacturing Costs'!I429*'Cost Input'!$F$84*I$86/Dashboard!F$110*(1-Lists!$C$154)*'Manufacturing Costs'!I$29</f>
        <v>16.606433320997898</v>
      </c>
      <c r="J88" s="1041">
        <f ca="1">'Manufacturing Costs'!J429*'Cost Input'!$F$84*J$86/Dashboard!G$110*(1-Lists!$C$154)*'Manufacturing Costs'!J$29</f>
        <v>16.606433320997898</v>
      </c>
      <c r="K88" s="1041">
        <f ca="1">'Manufacturing Costs'!K429*'Cost Input'!$F$84*K$86/Dashboard!H$110*(1-Lists!$C$154)*'Manufacturing Costs'!K$29</f>
        <v>16.606433320997898</v>
      </c>
      <c r="L88" s="1041">
        <f ca="1">'Manufacturing Costs'!L429*'Cost Input'!$F$84*L$86/Dashboard!I$110*(1-Lists!$C$154)*'Manufacturing Costs'!L$29</f>
        <v>16.606433320997898</v>
      </c>
      <c r="M88" s="1041">
        <f ca="1">'Manufacturing Costs'!M429*'Cost Input'!$F$84*M$86/Dashboard!J$110*(1-Lists!$C$154)*'Manufacturing Costs'!M$29</f>
        <v>16.606433320997898</v>
      </c>
    </row>
    <row r="89" spans="2:15" x14ac:dyDescent="0.15">
      <c r="B89" s="8" t="s">
        <v>1525</v>
      </c>
      <c r="F89" s="64"/>
      <c r="G89" s="1041">
        <f ca="1">'Manufacturing Costs'!G430*'Cost Input'!$F$84*G$86/Dashboard!D$110*(1-Lists!$C$154)*'Manufacturing Costs'!G$29</f>
        <v>39.708069701073221</v>
      </c>
      <c r="H89" s="1041">
        <f ca="1">'Manufacturing Costs'!H430*'Cost Input'!$F$84*H$86/Dashboard!E$110*(1-Lists!$C$154)*'Manufacturing Costs'!H$29</f>
        <v>39.708069701073221</v>
      </c>
      <c r="I89" s="1041">
        <f ca="1">'Manufacturing Costs'!I430*'Cost Input'!$F$84*I$86/Dashboard!F$110*(1-Lists!$C$154)*'Manufacturing Costs'!I$29</f>
        <v>39.708069701073221</v>
      </c>
      <c r="J89" s="1041">
        <f ca="1">'Manufacturing Costs'!J430*'Cost Input'!$F$84*J$86/Dashboard!G$110*(1-Lists!$C$154)*'Manufacturing Costs'!J$29</f>
        <v>39.708069701073221</v>
      </c>
      <c r="K89" s="1041">
        <f ca="1">'Manufacturing Costs'!K430*'Cost Input'!$F$84*K$86/Dashboard!H$110*(1-Lists!$C$154)*'Manufacturing Costs'!K$29</f>
        <v>39.708069701073221</v>
      </c>
      <c r="L89" s="1041">
        <f ca="1">'Manufacturing Costs'!L430*'Cost Input'!$F$84*L$86/Dashboard!I$110*(1-Lists!$C$154)*'Manufacturing Costs'!L$29</f>
        <v>39.708069701073221</v>
      </c>
      <c r="M89" s="1041">
        <f ca="1">'Manufacturing Costs'!M430*'Cost Input'!$F$84*M$86/Dashboard!J$110*(1-Lists!$C$154)*'Manufacturing Costs'!M$29</f>
        <v>39.708069701073221</v>
      </c>
    </row>
    <row r="90" spans="2:15" x14ac:dyDescent="0.15">
      <c r="B90" s="8" t="s">
        <v>1526</v>
      </c>
      <c r="F90" s="64"/>
      <c r="G90" s="1041">
        <f>'Manufacturing Costs'!G431*'Cost Input'!$F$84*G$86/Dashboard!D$110</f>
        <v>9.7699575599999982</v>
      </c>
      <c r="H90" s="1041">
        <f>'Manufacturing Costs'!H431*'Cost Input'!$F$84*H$86/Dashboard!E$110</f>
        <v>9.7699575599999982</v>
      </c>
      <c r="I90" s="1041">
        <f>'Manufacturing Costs'!I431*'Cost Input'!$F$84*I$86/Dashboard!F$110</f>
        <v>9.7699575599999982</v>
      </c>
      <c r="J90" s="1041">
        <f>'Manufacturing Costs'!J431*'Cost Input'!$F$84*J$86/Dashboard!G$110</f>
        <v>9.7699575599999982</v>
      </c>
      <c r="K90" s="1041">
        <f>'Manufacturing Costs'!K431*'Cost Input'!$F$84*K$86/Dashboard!H$110</f>
        <v>9.7699575599999982</v>
      </c>
      <c r="L90" s="1041">
        <f>'Manufacturing Costs'!L431*'Cost Input'!$F$84*L$86/Dashboard!I$110</f>
        <v>9.7699575599999982</v>
      </c>
      <c r="M90" s="1041">
        <f>'Manufacturing Costs'!M431*'Cost Input'!$F$84*M$86/Dashboard!J$110</f>
        <v>9.7699575599999982</v>
      </c>
    </row>
    <row r="91" spans="2:15" x14ac:dyDescent="0.15">
      <c r="B91" s="8" t="s">
        <v>1527</v>
      </c>
      <c r="F91" s="64"/>
      <c r="G91" s="1041">
        <f>'Manufacturing Costs'!G432*'Cost Input'!$F$84*G$86/Dashboard!D$110</f>
        <v>9.7699575599999982</v>
      </c>
      <c r="H91" s="1041">
        <f>'Manufacturing Costs'!H432*'Cost Input'!$F$84*H$86/Dashboard!E$110</f>
        <v>9.7699575599999982</v>
      </c>
      <c r="I91" s="1041">
        <f>'Manufacturing Costs'!I432*'Cost Input'!$F$84*I$86/Dashboard!F$110</f>
        <v>9.7699575599999982</v>
      </c>
      <c r="J91" s="1041">
        <f>'Manufacturing Costs'!J432*'Cost Input'!$F$84*J$86/Dashboard!G$110</f>
        <v>9.7699575599999982</v>
      </c>
      <c r="K91" s="1041">
        <f>'Manufacturing Costs'!K432*'Cost Input'!$F$84*K$86/Dashboard!H$110</f>
        <v>9.7699575599999982</v>
      </c>
      <c r="L91" s="1041">
        <f>'Manufacturing Costs'!L432*'Cost Input'!$F$84*L$86/Dashboard!I$110</f>
        <v>9.7699575599999982</v>
      </c>
      <c r="M91" s="1041">
        <f>'Manufacturing Costs'!M432*'Cost Input'!$F$84*M$86/Dashboard!J$110</f>
        <v>9.7699575599999982</v>
      </c>
    </row>
    <row r="92" spans="2:15" x14ac:dyDescent="0.15">
      <c r="B92" s="8" t="s">
        <v>1528</v>
      </c>
      <c r="F92" s="64"/>
      <c r="G92" s="1041">
        <f ca="1">'Manufacturing Costs'!G433*'Cost Input'!$F$84*G$86/Dashboard!D$110*((1-'Manufacturing Costs'!G27)+'Manufacturing Costs'!G27*(1-Lists!$C$154)*'Manufacturing Costs'!G$29)</f>
        <v>3.6185028000012038</v>
      </c>
      <c r="H92" s="1041">
        <f ca="1">'Manufacturing Costs'!H433*'Cost Input'!$F$84*H$86/Dashboard!E$110*((1-'Manufacturing Costs'!H27)+'Manufacturing Costs'!H27*(1-Lists!$C$154)*'Manufacturing Costs'!H$29)</f>
        <v>3.6185028000012038</v>
      </c>
      <c r="I92" s="1041">
        <f ca="1">'Manufacturing Costs'!I433*'Cost Input'!$F$84*I$86/Dashboard!F$110*((1-'Manufacturing Costs'!I27)+'Manufacturing Costs'!I27*(1-Lists!$C$154)*'Manufacturing Costs'!I$29)</f>
        <v>3.6185028000012038</v>
      </c>
      <c r="J92" s="1041">
        <f ca="1">'Manufacturing Costs'!J433*'Cost Input'!$F$84*J$86/Dashboard!G$110*((1-'Manufacturing Costs'!J27)+'Manufacturing Costs'!J27*(1-Lists!$C$154)*'Manufacturing Costs'!J$29)</f>
        <v>3.6185028000012038</v>
      </c>
      <c r="K92" s="1041">
        <f ca="1">'Manufacturing Costs'!K433*'Cost Input'!$F$84*K$86/Dashboard!H$110*((1-'Manufacturing Costs'!K27)+'Manufacturing Costs'!K27*(1-Lists!$C$154)*'Manufacturing Costs'!K$29)</f>
        <v>3.6185028000012038</v>
      </c>
      <c r="L92" s="1041">
        <f ca="1">'Manufacturing Costs'!L433*'Cost Input'!$F$84*L$86/Dashboard!I$110*((1-'Manufacturing Costs'!L27)+'Manufacturing Costs'!L27*(1-Lists!$C$154)*'Manufacturing Costs'!L$29)</f>
        <v>3.6185028000012038</v>
      </c>
      <c r="M92" s="1041">
        <f ca="1">'Manufacturing Costs'!M433*'Cost Input'!$F$84*M$86/Dashboard!J$110*((1-'Manufacturing Costs'!M27)+'Manufacturing Costs'!M27*(1-Lists!$C$154)*'Manufacturing Costs'!M$29)</f>
        <v>3.6185028000012038</v>
      </c>
      <c r="N92" s="8"/>
    </row>
    <row r="93" spans="2:15" x14ac:dyDescent="0.15">
      <c r="B93" s="8" t="s">
        <v>1529</v>
      </c>
      <c r="F93" s="64"/>
      <c r="G93" s="1041">
        <f ca="1">'Manufacturing Costs'!G434*'Cost Input'!$F$84*G$86/Dashboard!D$110*(1-Lists!$C$154)*'Manufacturing Costs'!G$29</f>
        <v>2.0501226802610599</v>
      </c>
      <c r="H93" s="1041">
        <f ca="1">'Manufacturing Costs'!H434*'Cost Input'!$F$84*H$86/Dashboard!E$110*(1-Lists!$C$154)*'Manufacturing Costs'!H$29</f>
        <v>2.0501226802610599</v>
      </c>
      <c r="I93" s="1041">
        <f ca="1">'Manufacturing Costs'!I434*'Cost Input'!$F$84*I$86/Dashboard!F$110*(1-Lists!$C$154)*'Manufacturing Costs'!I$29</f>
        <v>2.0501226802610599</v>
      </c>
      <c r="J93" s="1041">
        <f ca="1">'Manufacturing Costs'!J434*'Cost Input'!$F$84*J$86/Dashboard!G$110*(1-Lists!$C$154)*'Manufacturing Costs'!J$29</f>
        <v>2.0501226802610599</v>
      </c>
      <c r="K93" s="1041">
        <f ca="1">'Manufacturing Costs'!K434*'Cost Input'!$F$84*K$86/Dashboard!H$110*(1-Lists!$C$154)*'Manufacturing Costs'!K$29</f>
        <v>2.0501226802610599</v>
      </c>
      <c r="L93" s="1041">
        <f ca="1">'Manufacturing Costs'!L434*'Cost Input'!$F$84*L$86/Dashboard!I$110*(1-Lists!$C$154)*'Manufacturing Costs'!L$29</f>
        <v>2.0501226802610599</v>
      </c>
      <c r="M93" s="1041">
        <f ca="1">'Manufacturing Costs'!M434*'Cost Input'!$F$84*M$86/Dashboard!J$110*(1-Lists!$C$154)*'Manufacturing Costs'!M$29</f>
        <v>2.0501226802610599</v>
      </c>
      <c r="N93" s="8"/>
    </row>
    <row r="94" spans="2:15" x14ac:dyDescent="0.15">
      <c r="B94" s="800" t="s">
        <v>1535</v>
      </c>
      <c r="G94" s="1041">
        <f t="shared" ref="G94:M94" ca="1" si="7">SUM(G87:G93)</f>
        <v>102.06384880118513</v>
      </c>
      <c r="H94" s="1041">
        <f t="shared" ca="1" si="7"/>
        <v>102.06384880118513</v>
      </c>
      <c r="I94" s="1041">
        <f t="shared" ca="1" si="7"/>
        <v>102.06384880118513</v>
      </c>
      <c r="J94" s="1041">
        <f t="shared" ca="1" si="7"/>
        <v>102.06384880118513</v>
      </c>
      <c r="K94" s="1041">
        <f t="shared" ca="1" si="7"/>
        <v>102.06384880118513</v>
      </c>
      <c r="L94" s="1041">
        <f t="shared" ca="1" si="7"/>
        <v>102.06384880118513</v>
      </c>
      <c r="M94" s="1041">
        <f t="shared" ca="1" si="7"/>
        <v>102.06384880118513</v>
      </c>
    </row>
    <row r="95" spans="2:15" x14ac:dyDescent="0.15">
      <c r="B95" s="800"/>
      <c r="G95" s="20"/>
      <c r="H95" s="20"/>
      <c r="I95" s="20"/>
      <c r="J95" s="20"/>
      <c r="K95" s="20"/>
      <c r="L95" s="20"/>
      <c r="M95" s="20"/>
    </row>
    <row r="96" spans="2:15" ht="16" x14ac:dyDescent="0.2">
      <c r="B96" s="5" t="s">
        <v>1536</v>
      </c>
      <c r="G96" s="20"/>
      <c r="H96" s="20"/>
      <c r="I96" s="20"/>
      <c r="J96" s="20"/>
      <c r="K96" s="20"/>
      <c r="L96" s="20"/>
      <c r="M96" s="20"/>
    </row>
    <row r="97" spans="2:14" x14ac:dyDescent="0.15">
      <c r="B97" s="8" t="s">
        <v>1537</v>
      </c>
      <c r="G97" s="34">
        <f>'Cost Input'!$F$121</f>
        <v>1.07118</v>
      </c>
      <c r="H97" s="34">
        <f>'Cost Input'!$F$121</f>
        <v>1.07118</v>
      </c>
      <c r="I97" s="34">
        <f>'Cost Input'!$F$121</f>
        <v>1.07118</v>
      </c>
      <c r="J97" s="34">
        <f>'Cost Input'!$F$121</f>
        <v>1.07118</v>
      </c>
      <c r="K97" s="34">
        <f>'Cost Input'!$F$121</f>
        <v>1.07118</v>
      </c>
      <c r="L97" s="34">
        <f>'Cost Input'!$F$121</f>
        <v>1.07118</v>
      </c>
      <c r="M97" s="34">
        <f>'Cost Input'!$F$121</f>
        <v>1.07118</v>
      </c>
    </row>
    <row r="98" spans="2:14" x14ac:dyDescent="0.15">
      <c r="B98" s="8" t="s">
        <v>1523</v>
      </c>
      <c r="G98" s="1041">
        <f ca="1">'Manufacturing Costs'!G438*1000000*'Cost Input'!$F$94*'Manufacturing Costs'!G$29/Dashboard!D$110*(1-Lists!$C$154)*G$97</f>
        <v>42.369894779872006</v>
      </c>
      <c r="H98" s="1041">
        <f ca="1">'Manufacturing Costs'!H438*1000000*'Cost Input'!$F$94*'Manufacturing Costs'!H$29/Dashboard!E$110*(1-Lists!$C$154)*H$97</f>
        <v>42.369894779872006</v>
      </c>
      <c r="I98" s="1041">
        <f ca="1">'Manufacturing Costs'!I438*1000000*'Cost Input'!$F$94*'Manufacturing Costs'!I$29/Dashboard!F$110*(1-Lists!$C$154)*I$97</f>
        <v>42.369894779872006</v>
      </c>
      <c r="J98" s="1041">
        <f ca="1">'Manufacturing Costs'!J438*1000000*'Cost Input'!$F$94*'Manufacturing Costs'!J$29/Dashboard!G$110*(1-Lists!$C$154)*J$97</f>
        <v>42.369894779872006</v>
      </c>
      <c r="K98" s="1041">
        <f ca="1">'Manufacturing Costs'!K438*1000000*'Cost Input'!$F$94*'Manufacturing Costs'!K$29/Dashboard!H$110*(1-Lists!$C$154)*K$97</f>
        <v>42.369894779872006</v>
      </c>
      <c r="L98" s="1041">
        <f ca="1">'Manufacturing Costs'!L438*1000000*'Cost Input'!$F$94*'Manufacturing Costs'!L$29/Dashboard!I$110*(1-Lists!$C$154)*L$97</f>
        <v>42.369894779872006</v>
      </c>
      <c r="M98" s="1041">
        <f ca="1">'Manufacturing Costs'!M438*1000000*'Cost Input'!$F$94*'Manufacturing Costs'!M$29/Dashboard!J$110*(1-Lists!$C$154)*M$97</f>
        <v>42.369894779872006</v>
      </c>
    </row>
    <row r="99" spans="2:14" x14ac:dyDescent="0.15">
      <c r="B99" s="8" t="s">
        <v>1524</v>
      </c>
      <c r="G99" s="1041">
        <f ca="1">'Manufacturing Costs'!G439*1000000*'Cost Input'!$F$94*'Manufacturing Costs'!G$29/Dashboard!D$110*(1-Lists!$C$154)*G$97</f>
        <v>7.9410098855211553</v>
      </c>
      <c r="H99" s="1041">
        <f ca="1">'Manufacturing Costs'!H439*1000000*'Cost Input'!$F$94*'Manufacturing Costs'!H$29/Dashboard!E$110*(1-Lists!$C$154)*H$97</f>
        <v>7.9410098855211553</v>
      </c>
      <c r="I99" s="1041">
        <f ca="1">'Manufacturing Costs'!I439*1000000*'Cost Input'!$F$94*'Manufacturing Costs'!I$29/Dashboard!F$110*(1-Lists!$C$154)*I$97</f>
        <v>7.9410098855211553</v>
      </c>
      <c r="J99" s="1041">
        <f ca="1">'Manufacturing Costs'!J439*1000000*'Cost Input'!$F$94*'Manufacturing Costs'!J$29/Dashboard!G$110*(1-Lists!$C$154)*J$97</f>
        <v>7.9410098855211553</v>
      </c>
      <c r="K99" s="1041">
        <f ca="1">'Manufacturing Costs'!K439*1000000*'Cost Input'!$F$94*'Manufacturing Costs'!K$29/Dashboard!H$110*(1-Lists!$C$154)*K$97</f>
        <v>7.9410098855211553</v>
      </c>
      <c r="L99" s="1041">
        <f ca="1">'Manufacturing Costs'!L439*1000000*'Cost Input'!$F$94*'Manufacturing Costs'!L$29/Dashboard!I$110*(1-Lists!$C$154)*L$97</f>
        <v>7.9410098855211553</v>
      </c>
      <c r="M99" s="1041">
        <f ca="1">'Manufacturing Costs'!M439*1000000*'Cost Input'!$F$94*'Manufacturing Costs'!M$29/Dashboard!J$110*(1-Lists!$C$154)*M$97</f>
        <v>7.9410098855211553</v>
      </c>
    </row>
    <row r="100" spans="2:14" x14ac:dyDescent="0.15">
      <c r="B100" s="8" t="s">
        <v>1525</v>
      </c>
      <c r="G100" s="1041">
        <f ca="1">'Manufacturing Costs'!G440*1000000*'Cost Input'!$F$94*'Manufacturing Costs'!G$29/Dashboard!D$110*(1-Lists!$C$154)*G$97</f>
        <v>47.279197230248549</v>
      </c>
      <c r="H100" s="1041">
        <f ca="1">'Manufacturing Costs'!H440*1000000*'Cost Input'!$F$94*'Manufacturing Costs'!H$29/Dashboard!E$110*(1-Lists!$C$154)*H97</f>
        <v>47.279197230248549</v>
      </c>
      <c r="I100" s="1041">
        <f ca="1">'Manufacturing Costs'!I440*1000000*'Cost Input'!$F$94*'Manufacturing Costs'!I$29/Dashboard!F$110*(1-Lists!$C$154)*I97</f>
        <v>47.279197230248549</v>
      </c>
      <c r="J100" s="1041">
        <f ca="1">'Manufacturing Costs'!J440*1000000*'Cost Input'!$F$94*'Manufacturing Costs'!J$29/Dashboard!G$110*(1-Lists!$C$154)*J97</f>
        <v>47.279197230248549</v>
      </c>
      <c r="K100" s="1041">
        <f ca="1">'Manufacturing Costs'!K440*1000000*'Cost Input'!$F$94*'Manufacturing Costs'!K$29/Dashboard!H$110*(1-Lists!$C$154)*K97</f>
        <v>47.279197230248549</v>
      </c>
      <c r="L100" s="1041">
        <f ca="1">'Manufacturing Costs'!L440*1000000*'Cost Input'!$F$94*'Manufacturing Costs'!L$29/Dashboard!I$110*(1-Lists!$C$154)*L97</f>
        <v>47.279197230248549</v>
      </c>
      <c r="M100" s="1041">
        <f ca="1">'Manufacturing Costs'!M440*1000000*'Cost Input'!$F$94*'Manufacturing Costs'!M$29/Dashboard!J$110*(1-Lists!$C$154)*M97</f>
        <v>47.279197230248549</v>
      </c>
    </row>
    <row r="101" spans="2:14" x14ac:dyDescent="0.15">
      <c r="B101" s="8" t="s">
        <v>1526</v>
      </c>
      <c r="G101" s="1041">
        <f>'Manufacturing Costs'!G441*1000000*'Cost Input'!$F$94/Dashboard!D$110*G97</f>
        <v>2.0402122752</v>
      </c>
      <c r="H101" s="1041">
        <f>'Manufacturing Costs'!H441*1000000*'Cost Input'!$F$94/Dashboard!E$110*H97</f>
        <v>2.0402122752</v>
      </c>
      <c r="I101" s="1041">
        <f>'Manufacturing Costs'!I441*1000000*'Cost Input'!$F$94/Dashboard!F$110*I97</f>
        <v>2.0402122752</v>
      </c>
      <c r="J101" s="1041">
        <f>'Manufacturing Costs'!J441*1000000*'Cost Input'!$F$94/Dashboard!G$110*J97</f>
        <v>2.0402122752</v>
      </c>
      <c r="K101" s="1041">
        <f>'Manufacturing Costs'!K441*1000000*'Cost Input'!$F$94/Dashboard!H$110*K97</f>
        <v>2.0402122752</v>
      </c>
      <c r="L101" s="1041">
        <f>'Manufacturing Costs'!L441*1000000*'Cost Input'!$F$94/Dashboard!I$110*L97</f>
        <v>2.0402122752</v>
      </c>
      <c r="M101" s="1041">
        <f>'Manufacturing Costs'!M441*1000000*'Cost Input'!$F$94/Dashboard!J$110*M97</f>
        <v>2.0402122752</v>
      </c>
    </row>
    <row r="102" spans="2:14" x14ac:dyDescent="0.15">
      <c r="B102" s="8" t="s">
        <v>1527</v>
      </c>
      <c r="G102" s="1041">
        <f>'Manufacturing Costs'!G442*1000000*'Cost Input'!$F$94/Dashboard!D$110*G97</f>
        <v>1.7769590784</v>
      </c>
      <c r="H102" s="1041">
        <f>'Manufacturing Costs'!H442*1000000*'Cost Input'!$F$94/Dashboard!E$110*H97</f>
        <v>1.7769590784</v>
      </c>
      <c r="I102" s="1041">
        <f>'Manufacturing Costs'!I442*1000000*'Cost Input'!$F$94/Dashboard!F$110*I97</f>
        <v>1.7769590784</v>
      </c>
      <c r="J102" s="1041">
        <f>'Manufacturing Costs'!J442*1000000*'Cost Input'!$F$94/Dashboard!G$110*J97</f>
        <v>1.7769590784</v>
      </c>
      <c r="K102" s="1041">
        <f>'Manufacturing Costs'!K442*1000000*'Cost Input'!$F$94/Dashboard!H$110*K97</f>
        <v>1.7769590784</v>
      </c>
      <c r="L102" s="1041">
        <f>'Manufacturing Costs'!L442*1000000*'Cost Input'!$F$94/Dashboard!I$110*L97</f>
        <v>1.7769590784</v>
      </c>
      <c r="M102" s="1041">
        <f>'Manufacturing Costs'!M442*1000000*'Cost Input'!$F$94/Dashboard!J$110*M97</f>
        <v>1.7769590784</v>
      </c>
    </row>
    <row r="103" spans="2:14" x14ac:dyDescent="0.15">
      <c r="B103" s="8" t="s">
        <v>1528</v>
      </c>
      <c r="G103" s="1041">
        <f ca="1">'Manufacturing Costs'!G443*1000000*'Cost Input'!$F$94/Dashboard!D$110*((1-'Manufacturing Costs'!G27)+'Manufacturing Costs'!G27*(1-Lists!$C$154)*'Manufacturing Costs'!G$29)*G97</f>
        <v>5.0676240384017746</v>
      </c>
      <c r="H103" s="1041">
        <f ca="1">'Manufacturing Costs'!H443*1000000*'Cost Input'!$F$94/Dashboard!E$110*((1-'Manufacturing Costs'!H27)+'Manufacturing Costs'!H27*(1-Lists!$C$154)*'Manufacturing Costs'!H$29)*H97</f>
        <v>5.0676240384017746</v>
      </c>
      <c r="I103" s="1041">
        <f ca="1">'Manufacturing Costs'!I443*1000000*'Cost Input'!$F$94/Dashboard!F$110*((1-'Manufacturing Costs'!I27)+'Manufacturing Costs'!I27*(1-Lists!$C$154)*'Manufacturing Costs'!I$29)*I97</f>
        <v>5.0676240384017746</v>
      </c>
      <c r="J103" s="1041">
        <f ca="1">'Manufacturing Costs'!J443*1000000*'Cost Input'!$F$94/Dashboard!G$110*((1-'Manufacturing Costs'!J27)+'Manufacturing Costs'!J27*(1-Lists!$C$154)*'Manufacturing Costs'!J$29)*J97</f>
        <v>5.0676240384017746</v>
      </c>
      <c r="K103" s="1041">
        <f ca="1">'Manufacturing Costs'!K443*1000000*'Cost Input'!$F$94/Dashboard!H$110*((1-'Manufacturing Costs'!K27)+'Manufacturing Costs'!K27*(1-Lists!$C$154)*'Manufacturing Costs'!K$29)*K97</f>
        <v>5.0676240384017746</v>
      </c>
      <c r="L103" s="1041">
        <f ca="1">'Manufacturing Costs'!L443*1000000*'Cost Input'!$F$94/Dashboard!I$110*((1-'Manufacturing Costs'!L27)+'Manufacturing Costs'!L27*(1-Lists!$C$154)*'Manufacturing Costs'!L$29)*L97</f>
        <v>5.0676240384017746</v>
      </c>
      <c r="M103" s="1041">
        <f ca="1">'Manufacturing Costs'!M443*1000000*'Cost Input'!$F$94/Dashboard!J$110*((1-'Manufacturing Costs'!M27)+'Manufacturing Costs'!M27*(1-Lists!$C$154)*'Manufacturing Costs'!M$29)*M97</f>
        <v>5.0676240384017746</v>
      </c>
    </row>
    <row r="104" spans="2:14" x14ac:dyDescent="0.15">
      <c r="B104" s="8" t="s">
        <v>1529</v>
      </c>
      <c r="G104" s="1041">
        <f ca="1">('Manufacturing Costs'!G444-Lists!$C$154*24*'Cost Input'!$F$81/1000000*SUM('Manufacturing Costs'!G367,'Manufacturing Costs'!G374,'Manufacturing Costs'!G381,'Manufacturing Costs'!G389,'Manufacturing Costs'!G396*'Manufacturing Costs'!G451/'Manufacturing Costs'!G445,'Manufacturing Costs'!G403*'Manufacturing Costs'!G28)-IF(_manufact_method=2,(1-'Manufacturing Costs'!G29),0)*24*'Cost Input'!$F$81/1000000*SUM('Manufacturing Costs'!G367,'Manufacturing Costs'!G374,'Manufacturing Costs'!G381,'Manufacturing Costs'!G389,'Manufacturing Costs'!G403*'Manufacturing Costs'!G28,'Manufacturing Costs'!G396*'Manufacturing Costs'!G451/'Manufacturing Costs'!G445))*1000000*'Cost Input'!$F$94/Dashboard!D$110*G97</f>
        <v>58.22227101837052</v>
      </c>
      <c r="H104" s="1041">
        <f ca="1">('Manufacturing Costs'!H444-Lists!$C$154*24*'Cost Input'!$F$81/1000000*SUM('Manufacturing Costs'!H367,'Manufacturing Costs'!H374,'Manufacturing Costs'!H381,'Manufacturing Costs'!H389,'Manufacturing Costs'!H396*'Manufacturing Costs'!H451/'Manufacturing Costs'!H445,'Manufacturing Costs'!H403*'Manufacturing Costs'!H28)-IF(_manufact_method=2,(1-'Manufacturing Costs'!H29),0)*24*'Cost Input'!$F$81/1000000*SUM('Manufacturing Costs'!H367,'Manufacturing Costs'!H374,'Manufacturing Costs'!H381,'Manufacturing Costs'!H389,'Manufacturing Costs'!H403*'Manufacturing Costs'!H28,'Manufacturing Costs'!H396*'Manufacturing Costs'!H451/'Manufacturing Costs'!H445))*1000000*'Cost Input'!$F$94/Dashboard!E$110*H97</f>
        <v>58.22227101837052</v>
      </c>
      <c r="I104" s="1041">
        <f ca="1">('Manufacturing Costs'!I444-Lists!$C$154*24*'Cost Input'!$F$81/1000000*SUM('Manufacturing Costs'!I367,'Manufacturing Costs'!I374,'Manufacturing Costs'!I381,'Manufacturing Costs'!I389,'Manufacturing Costs'!I396*'Manufacturing Costs'!I451/'Manufacturing Costs'!I445,'Manufacturing Costs'!I403*'Manufacturing Costs'!I28)-IF(_manufact_method=2,(1-'Manufacturing Costs'!I29),0)*24*'Cost Input'!$F$81/1000000*SUM('Manufacturing Costs'!I367,'Manufacturing Costs'!I374,'Manufacturing Costs'!I381,'Manufacturing Costs'!I389,'Manufacturing Costs'!I403*'Manufacturing Costs'!I28,'Manufacturing Costs'!I396*'Manufacturing Costs'!I451/'Manufacturing Costs'!I445))*1000000*'Cost Input'!$F$94/Dashboard!F$110*I97</f>
        <v>58.22227101837052</v>
      </c>
      <c r="J104" s="1041">
        <f ca="1">('Manufacturing Costs'!J444-Lists!$C$154*24*'Cost Input'!$F$81/1000000*SUM('Manufacturing Costs'!J367,'Manufacturing Costs'!J374,'Manufacturing Costs'!J381,'Manufacturing Costs'!J389,'Manufacturing Costs'!J396*'Manufacturing Costs'!J451/'Manufacturing Costs'!J445,'Manufacturing Costs'!J403*'Manufacturing Costs'!J28)-IF(_manufact_method=2,(1-'Manufacturing Costs'!J29),0)*24*'Cost Input'!$F$81/1000000*SUM('Manufacturing Costs'!J367,'Manufacturing Costs'!J374,'Manufacturing Costs'!J381,'Manufacturing Costs'!J389,'Manufacturing Costs'!J403*'Manufacturing Costs'!J28,'Manufacturing Costs'!J396*'Manufacturing Costs'!J451/'Manufacturing Costs'!J445))*1000000*'Cost Input'!$F$94/Dashboard!G$110*J97</f>
        <v>58.22227101837052</v>
      </c>
      <c r="K104" s="1041">
        <f ca="1">('Manufacturing Costs'!K444-Lists!$C$154*24*'Cost Input'!$F$81/1000000*SUM('Manufacturing Costs'!K367,'Manufacturing Costs'!K374,'Manufacturing Costs'!K381,'Manufacturing Costs'!K389,'Manufacturing Costs'!K396*'Manufacturing Costs'!K451/'Manufacturing Costs'!K445,'Manufacturing Costs'!K403*'Manufacturing Costs'!K28)-IF(_manufact_method=2,(1-'Manufacturing Costs'!K29),0)*24*'Cost Input'!$F$81/1000000*SUM('Manufacturing Costs'!K367,'Manufacturing Costs'!K374,'Manufacturing Costs'!K381,'Manufacturing Costs'!K389,'Manufacturing Costs'!K403*'Manufacturing Costs'!K28,'Manufacturing Costs'!K396*'Manufacturing Costs'!K451/'Manufacturing Costs'!K445))*1000000*'Cost Input'!$F$94/Dashboard!H$110*K97</f>
        <v>58.22227101837052</v>
      </c>
      <c r="L104" s="1041">
        <f ca="1">('Manufacturing Costs'!L444-Lists!$C$154*24*'Cost Input'!$F$81/1000000*SUM('Manufacturing Costs'!L367,'Manufacturing Costs'!L374,'Manufacturing Costs'!L381,'Manufacturing Costs'!L389,'Manufacturing Costs'!L396*'Manufacturing Costs'!L451/'Manufacturing Costs'!L445,'Manufacturing Costs'!L403*'Manufacturing Costs'!L28)-IF(_manufact_method=2,(1-'Manufacturing Costs'!L29),0)*24*'Cost Input'!$F$81/1000000*SUM('Manufacturing Costs'!L367,'Manufacturing Costs'!L374,'Manufacturing Costs'!L381,'Manufacturing Costs'!L389,'Manufacturing Costs'!L403*'Manufacturing Costs'!L28,'Manufacturing Costs'!L396*'Manufacturing Costs'!L451/'Manufacturing Costs'!L445))*1000000*'Cost Input'!$F$94/Dashboard!I$110*L97</f>
        <v>58.22227101837052</v>
      </c>
      <c r="M104" s="1041">
        <f ca="1">('Manufacturing Costs'!M444-Lists!$C$154*24*'Cost Input'!$F$81/1000000*SUM('Manufacturing Costs'!M367,'Manufacturing Costs'!M374,'Manufacturing Costs'!M381,'Manufacturing Costs'!M389,'Manufacturing Costs'!M396*'Manufacturing Costs'!M451/'Manufacturing Costs'!M445,'Manufacturing Costs'!M403*'Manufacturing Costs'!M28)-IF(_manufact_method=2,(1-'Manufacturing Costs'!M29),0)*24*'Cost Input'!$F$81/1000000*SUM('Manufacturing Costs'!M367,'Manufacturing Costs'!M374,'Manufacturing Costs'!M381,'Manufacturing Costs'!M389,'Manufacturing Costs'!M403*'Manufacturing Costs'!M28,'Manufacturing Costs'!M396*'Manufacturing Costs'!M451/'Manufacturing Costs'!M445))*1000000*'Cost Input'!$F$94/Dashboard!J$110*M97</f>
        <v>58.22227101837052</v>
      </c>
    </row>
    <row r="105" spans="2:14" x14ac:dyDescent="0.15">
      <c r="B105" s="1152" t="s">
        <v>1538</v>
      </c>
      <c r="G105" s="1041">
        <f t="shared" ref="G105:M105" ca="1" si="8">SUM(G98:G104)</f>
        <v>164.69716830601402</v>
      </c>
      <c r="H105" s="1041">
        <f t="shared" ca="1" si="8"/>
        <v>164.69716830601402</v>
      </c>
      <c r="I105" s="1041">
        <f t="shared" ca="1" si="8"/>
        <v>164.69716830601402</v>
      </c>
      <c r="J105" s="1041">
        <f t="shared" ca="1" si="8"/>
        <v>164.69716830601402</v>
      </c>
      <c r="K105" s="1041">
        <f t="shared" ca="1" si="8"/>
        <v>164.69716830601402</v>
      </c>
      <c r="L105" s="1041">
        <f t="shared" ca="1" si="8"/>
        <v>164.69716830601402</v>
      </c>
      <c r="M105" s="1041">
        <f t="shared" ca="1" si="8"/>
        <v>164.69716830601402</v>
      </c>
    </row>
    <row r="106" spans="2:14" x14ac:dyDescent="0.15">
      <c r="B106" s="800"/>
      <c r="G106" s="20"/>
      <c r="H106" s="20"/>
      <c r="I106" s="20"/>
      <c r="J106" s="20"/>
      <c r="K106" s="20"/>
      <c r="L106" s="20"/>
      <c r="M106" s="20"/>
    </row>
    <row r="107" spans="2:14" ht="16" x14ac:dyDescent="0.2">
      <c r="B107" s="801" t="s">
        <v>1539</v>
      </c>
      <c r="G107" s="20"/>
      <c r="H107" s="20"/>
      <c r="I107" s="20"/>
      <c r="J107" s="20"/>
      <c r="K107" s="20"/>
      <c r="L107" s="20"/>
      <c r="M107" s="20"/>
    </row>
    <row r="108" spans="2:14" x14ac:dyDescent="0.15">
      <c r="B108" t="s">
        <v>1540</v>
      </c>
      <c r="G108" s="853">
        <f t="shared" ref="G108:M110" ca="1" si="9">G118</f>
        <v>8079.1410210133599</v>
      </c>
      <c r="H108" s="853">
        <f t="shared" ca="1" si="9"/>
        <v>8079.1410210133599</v>
      </c>
      <c r="I108" s="853">
        <f t="shared" ca="1" si="9"/>
        <v>8079.1410210133599</v>
      </c>
      <c r="J108" s="853">
        <f t="shared" ca="1" si="9"/>
        <v>8079.1410210133599</v>
      </c>
      <c r="K108" s="853">
        <f t="shared" ca="1" si="9"/>
        <v>8079.1410210133599</v>
      </c>
      <c r="L108" s="853">
        <f t="shared" ca="1" si="9"/>
        <v>8079.1410210133599</v>
      </c>
      <c r="M108" s="853">
        <f t="shared" ca="1" si="9"/>
        <v>8079.1410210133599</v>
      </c>
    </row>
    <row r="109" spans="2:14" x14ac:dyDescent="0.15">
      <c r="B109" s="8" t="s">
        <v>1541</v>
      </c>
      <c r="G109" s="853">
        <f t="shared" ca="1" si="9"/>
        <v>1571.7024695481928</v>
      </c>
      <c r="H109" s="853">
        <f t="shared" ca="1" si="9"/>
        <v>1571.7024695481928</v>
      </c>
      <c r="I109" s="853">
        <f t="shared" ca="1" si="9"/>
        <v>1571.7024695481928</v>
      </c>
      <c r="J109" s="853">
        <f t="shared" ca="1" si="9"/>
        <v>1571.7024695481928</v>
      </c>
      <c r="K109" s="853">
        <f t="shared" ca="1" si="9"/>
        <v>1571.7024695481928</v>
      </c>
      <c r="L109" s="853">
        <f t="shared" ca="1" si="9"/>
        <v>1571.7024695481928</v>
      </c>
      <c r="M109" s="853">
        <f t="shared" ca="1" si="9"/>
        <v>1571.7024695481928</v>
      </c>
      <c r="N109" s="815"/>
    </row>
    <row r="110" spans="2:14" x14ac:dyDescent="0.15">
      <c r="B110" s="8" t="s">
        <v>25</v>
      </c>
      <c r="G110" s="853">
        <f t="shared" ca="1" si="9"/>
        <v>378.521286411174</v>
      </c>
      <c r="H110" s="853">
        <f t="shared" ca="1" si="9"/>
        <v>378.521286411174</v>
      </c>
      <c r="I110" s="853">
        <f t="shared" ca="1" si="9"/>
        <v>378.521286411174</v>
      </c>
      <c r="J110" s="853">
        <f t="shared" ca="1" si="9"/>
        <v>378.521286411174</v>
      </c>
      <c r="K110" s="853">
        <f t="shared" ca="1" si="9"/>
        <v>378.521286411174</v>
      </c>
      <c r="L110" s="853">
        <f t="shared" ca="1" si="9"/>
        <v>378.521286411174</v>
      </c>
      <c r="M110" s="853">
        <f t="shared" ca="1" si="9"/>
        <v>378.521286411174</v>
      </c>
    </row>
    <row r="111" spans="2:14" x14ac:dyDescent="0.15">
      <c r="B111" t="s">
        <v>1542</v>
      </c>
      <c r="F111" s="36"/>
      <c r="G111" s="1042">
        <f t="shared" ref="G111:M111" ca="1" si="10">G72</f>
        <v>339.96280857286223</v>
      </c>
      <c r="H111" s="1042">
        <f t="shared" ca="1" si="10"/>
        <v>339.96280857286223</v>
      </c>
      <c r="I111" s="1042">
        <f t="shared" ca="1" si="10"/>
        <v>339.96280857286223</v>
      </c>
      <c r="J111" s="1042">
        <f t="shared" ca="1" si="10"/>
        <v>339.96280857286223</v>
      </c>
      <c r="K111" s="1042">
        <f t="shared" ca="1" si="10"/>
        <v>339.96280857286223</v>
      </c>
      <c r="L111" s="1042">
        <f t="shared" ca="1" si="10"/>
        <v>339.96280857286223</v>
      </c>
      <c r="M111" s="1042">
        <f t="shared" ca="1" si="10"/>
        <v>339.96280857286223</v>
      </c>
    </row>
    <row r="112" spans="2:14" x14ac:dyDescent="0.15">
      <c r="B112" t="s">
        <v>1543</v>
      </c>
      <c r="G112" s="1042">
        <f t="shared" ref="G112:M112" ca="1" si="11">G83+G94</f>
        <v>1793.4000978079298</v>
      </c>
      <c r="H112" s="1042">
        <f t="shared" ca="1" si="11"/>
        <v>1793.4000978079298</v>
      </c>
      <c r="I112" s="1042">
        <f t="shared" ca="1" si="11"/>
        <v>1793.4000978079298</v>
      </c>
      <c r="J112" s="1042">
        <f t="shared" ca="1" si="11"/>
        <v>1793.4000978079298</v>
      </c>
      <c r="K112" s="1042">
        <f t="shared" ca="1" si="11"/>
        <v>1793.4000978079298</v>
      </c>
      <c r="L112" s="1042">
        <f t="shared" ca="1" si="11"/>
        <v>1793.4000978079298</v>
      </c>
      <c r="M112" s="1042">
        <f t="shared" ca="1" si="11"/>
        <v>1793.4000978079298</v>
      </c>
    </row>
    <row r="113" spans="1:19" x14ac:dyDescent="0.15">
      <c r="B113" s="8" t="s">
        <v>1444</v>
      </c>
      <c r="G113" s="1042">
        <f t="shared" ref="G113:M113" ca="1" si="12">G105</f>
        <v>164.69716830601402</v>
      </c>
      <c r="H113" s="1042">
        <f t="shared" ca="1" si="12"/>
        <v>164.69716830601402</v>
      </c>
      <c r="I113" s="1042">
        <f t="shared" ca="1" si="12"/>
        <v>164.69716830601402</v>
      </c>
      <c r="J113" s="1042">
        <f t="shared" ca="1" si="12"/>
        <v>164.69716830601402</v>
      </c>
      <c r="K113" s="1042">
        <f t="shared" ca="1" si="12"/>
        <v>164.69716830601402</v>
      </c>
      <c r="L113" s="1042">
        <f t="shared" ca="1" si="12"/>
        <v>164.69716830601402</v>
      </c>
      <c r="M113" s="1042">
        <f t="shared" ca="1" si="12"/>
        <v>164.69716830601402</v>
      </c>
    </row>
    <row r="114" spans="1:19" x14ac:dyDescent="0.15">
      <c r="B114" s="8" t="s">
        <v>1544</v>
      </c>
      <c r="G114" s="853">
        <f t="shared" ref="G114:M114" ca="1" si="13">SUM(G108:G113)</f>
        <v>12327.424851659533</v>
      </c>
      <c r="H114" s="853">
        <f t="shared" ca="1" si="13"/>
        <v>12327.424851659533</v>
      </c>
      <c r="I114" s="853">
        <f t="shared" ca="1" si="13"/>
        <v>12327.424851659533</v>
      </c>
      <c r="J114" s="853">
        <f t="shared" ca="1" si="13"/>
        <v>12327.424851659533</v>
      </c>
      <c r="K114" s="853">
        <f t="shared" ca="1" si="13"/>
        <v>12327.424851659533</v>
      </c>
      <c r="L114" s="853">
        <f t="shared" ca="1" si="13"/>
        <v>12327.424851659533</v>
      </c>
      <c r="M114" s="853">
        <f t="shared" ca="1" si="13"/>
        <v>12327.424851659533</v>
      </c>
      <c r="N114" s="562"/>
    </row>
    <row r="115" spans="1:19" x14ac:dyDescent="0.15">
      <c r="G115" s="36"/>
      <c r="H115" s="36"/>
      <c r="I115" s="36"/>
      <c r="J115" s="36"/>
      <c r="K115" s="36"/>
      <c r="L115" s="36"/>
      <c r="M115" s="36"/>
    </row>
    <row r="116" spans="1:19" ht="16" x14ac:dyDescent="0.2">
      <c r="B116" s="5" t="s">
        <v>1545</v>
      </c>
      <c r="C116" s="5"/>
      <c r="D116" s="5"/>
      <c r="E116" s="5"/>
      <c r="F116" s="5"/>
    </row>
    <row r="117" spans="1:19" ht="16" x14ac:dyDescent="0.2">
      <c r="B117" s="507" t="s">
        <v>1546</v>
      </c>
      <c r="C117" s="5"/>
      <c r="D117" s="5"/>
      <c r="E117" s="5"/>
      <c r="F117" s="5"/>
      <c r="G117" s="5"/>
      <c r="H117" s="5"/>
      <c r="I117" s="5"/>
      <c r="J117" s="5"/>
      <c r="K117" s="5"/>
      <c r="L117" s="5"/>
      <c r="M117" s="5"/>
    </row>
    <row r="118" spans="1:19" x14ac:dyDescent="0.15">
      <c r="A118" s="26" t="s">
        <v>352</v>
      </c>
      <c r="B118" t="s">
        <v>1547</v>
      </c>
      <c r="G118" s="1043">
        <f ca="1">G46*'Cost Input'!$F$117</f>
        <v>8079.1410210071072</v>
      </c>
      <c r="H118" s="1043">
        <f ca="1">H46*'Cost Input'!$F$117</f>
        <v>8079.1410210071072</v>
      </c>
      <c r="I118" s="1043">
        <f ca="1">I46*'Cost Input'!$F$117</f>
        <v>8079.1410210071072</v>
      </c>
      <c r="J118" s="1043">
        <f ca="1">J46*'Cost Input'!$F$117</f>
        <v>8079.1410210071072</v>
      </c>
      <c r="K118" s="1043">
        <f ca="1">K46*'Cost Input'!$F$117</f>
        <v>8079.1410210071072</v>
      </c>
      <c r="L118" s="1043">
        <f ca="1">L46*'Cost Input'!$F$117</f>
        <v>8079.1410210071072</v>
      </c>
      <c r="M118" s="1043">
        <f ca="1">M46*'Cost Input'!$F$117</f>
        <v>8079.1410210071072</v>
      </c>
      <c r="R118" s="52"/>
      <c r="S118" s="36"/>
    </row>
    <row r="119" spans="1:19" x14ac:dyDescent="0.15">
      <c r="A119" s="26" t="s">
        <v>352</v>
      </c>
      <c r="B119" s="8" t="s">
        <v>1548</v>
      </c>
      <c r="G119" s="853">
        <f ca="1">G47*'Cost Input'!$F$117</f>
        <v>1571.7024695479377</v>
      </c>
      <c r="H119" s="853">
        <f ca="1">H47*'Cost Input'!$F$117</f>
        <v>1571.7024695479377</v>
      </c>
      <c r="I119" s="853">
        <f ca="1">I47*'Cost Input'!$F$117</f>
        <v>1571.7024695479377</v>
      </c>
      <c r="J119" s="853">
        <f ca="1">J47*'Cost Input'!$F$117</f>
        <v>1571.7024695479377</v>
      </c>
      <c r="K119" s="853">
        <f ca="1">K47*'Cost Input'!$F$117</f>
        <v>1571.7024695479377</v>
      </c>
      <c r="L119" s="853">
        <f ca="1">L47*'Cost Input'!$F$117</f>
        <v>1571.7024695479377</v>
      </c>
      <c r="M119" s="853">
        <f ca="1">M47*'Cost Input'!$F$117</f>
        <v>1571.7024695479377</v>
      </c>
      <c r="R119" s="52"/>
      <c r="S119" s="36"/>
    </row>
    <row r="120" spans="1:19" x14ac:dyDescent="0.15">
      <c r="A120" s="26"/>
      <c r="B120" s="8" t="s">
        <v>1549</v>
      </c>
      <c r="G120" s="853">
        <f ca="1">G48*'Cost Input'!$F$117</f>
        <v>378.521286411174</v>
      </c>
      <c r="H120" s="853">
        <f ca="1">H48*'Cost Input'!$F$117</f>
        <v>378.521286411174</v>
      </c>
      <c r="I120" s="853">
        <f ca="1">I48*'Cost Input'!$F$117</f>
        <v>378.521286411174</v>
      </c>
      <c r="J120" s="853">
        <f ca="1">J48*'Cost Input'!$F$117</f>
        <v>378.521286411174</v>
      </c>
      <c r="K120" s="853">
        <f ca="1">K48*'Cost Input'!$F$117</f>
        <v>378.521286411174</v>
      </c>
      <c r="L120" s="853">
        <f ca="1">L48*'Cost Input'!$F$117</f>
        <v>378.521286411174</v>
      </c>
      <c r="M120" s="853">
        <f ca="1">M48*'Cost Input'!$F$117</f>
        <v>378.521286411174</v>
      </c>
      <c r="R120" s="52"/>
      <c r="S120" s="36"/>
    </row>
    <row r="121" spans="1:19" x14ac:dyDescent="0.15">
      <c r="A121" s="26"/>
      <c r="B121" s="8"/>
      <c r="G121" s="41"/>
      <c r="H121" s="41"/>
      <c r="I121" s="41"/>
      <c r="J121" s="41"/>
      <c r="K121" s="41"/>
      <c r="L121" s="41"/>
      <c r="M121" s="41"/>
      <c r="R121" s="52"/>
      <c r="S121" s="36"/>
    </row>
    <row r="122" spans="1:19" ht="14" x14ac:dyDescent="0.15">
      <c r="A122" s="26"/>
      <c r="B122" s="507" t="s">
        <v>1550</v>
      </c>
      <c r="G122" s="18"/>
      <c r="H122" s="18"/>
      <c r="I122" s="18"/>
      <c r="J122" s="18"/>
      <c r="K122" s="18"/>
      <c r="L122" s="18"/>
      <c r="M122" s="18"/>
      <c r="R122" s="52"/>
      <c r="S122" s="36"/>
    </row>
    <row r="123" spans="1:19" x14ac:dyDescent="0.15">
      <c r="A123" s="26"/>
      <c r="B123" t="s">
        <v>1551</v>
      </c>
      <c r="G123" s="853">
        <f t="shared" ref="G123:M130" ca="1" si="14">G65+G76+G87+G98</f>
        <v>442.66267252176266</v>
      </c>
      <c r="H123" s="853">
        <f t="shared" ca="1" si="14"/>
        <v>442.66267252176266</v>
      </c>
      <c r="I123" s="853">
        <f t="shared" ca="1" si="14"/>
        <v>442.66267252176266</v>
      </c>
      <c r="J123" s="853">
        <f t="shared" ca="1" si="14"/>
        <v>442.66267252176266</v>
      </c>
      <c r="K123" s="853">
        <f t="shared" ca="1" si="14"/>
        <v>442.66267252176266</v>
      </c>
      <c r="L123" s="853">
        <f t="shared" ca="1" si="14"/>
        <v>442.66267252176266</v>
      </c>
      <c r="M123" s="853">
        <f t="shared" ca="1" si="14"/>
        <v>442.66267252176266</v>
      </c>
      <c r="R123" s="52"/>
      <c r="S123" s="36"/>
    </row>
    <row r="124" spans="1:19" x14ac:dyDescent="0.15">
      <c r="A124" s="26"/>
      <c r="B124" t="s">
        <v>1552</v>
      </c>
      <c r="G124" s="853">
        <f t="shared" ca="1" si="14"/>
        <v>373.68421801877275</v>
      </c>
      <c r="H124" s="853">
        <f t="shared" ca="1" si="14"/>
        <v>373.68421801877275</v>
      </c>
      <c r="I124" s="853">
        <f t="shared" ca="1" si="14"/>
        <v>373.68421801877275</v>
      </c>
      <c r="J124" s="853">
        <f t="shared" ca="1" si="14"/>
        <v>373.68421801877275</v>
      </c>
      <c r="K124" s="853">
        <f t="shared" ca="1" si="14"/>
        <v>373.68421801877275</v>
      </c>
      <c r="L124" s="853">
        <f t="shared" ca="1" si="14"/>
        <v>373.68421801877275</v>
      </c>
      <c r="M124" s="853">
        <f t="shared" ca="1" si="14"/>
        <v>373.68421801877275</v>
      </c>
      <c r="R124" s="52"/>
      <c r="S124" s="64"/>
    </row>
    <row r="125" spans="1:19" x14ac:dyDescent="0.15">
      <c r="A125" s="26"/>
      <c r="B125" t="s">
        <v>1553</v>
      </c>
      <c r="G125" s="853">
        <f t="shared" ca="1" si="14"/>
        <v>495.06910577063866</v>
      </c>
      <c r="H125" s="853">
        <f t="shared" ca="1" si="14"/>
        <v>495.06910577063866</v>
      </c>
      <c r="I125" s="853">
        <f t="shared" ca="1" si="14"/>
        <v>495.06910577063866</v>
      </c>
      <c r="J125" s="853">
        <f t="shared" ca="1" si="14"/>
        <v>495.06910577063866</v>
      </c>
      <c r="K125" s="853">
        <f t="shared" ca="1" si="14"/>
        <v>495.06910577063866</v>
      </c>
      <c r="L125" s="853">
        <f t="shared" ca="1" si="14"/>
        <v>495.06910577063866</v>
      </c>
      <c r="M125" s="853">
        <f t="shared" ca="1" si="14"/>
        <v>495.06910577063866</v>
      </c>
      <c r="R125" s="52"/>
      <c r="S125" s="36"/>
    </row>
    <row r="126" spans="1:19" x14ac:dyDescent="0.15">
      <c r="A126" s="26"/>
      <c r="B126" s="8" t="s">
        <v>1554</v>
      </c>
      <c r="G126" s="853">
        <f t="shared" si="14"/>
        <v>74.958297256511273</v>
      </c>
      <c r="H126" s="853">
        <f t="shared" si="14"/>
        <v>74.958297256511273</v>
      </c>
      <c r="I126" s="853">
        <f t="shared" si="14"/>
        <v>74.958297256511273</v>
      </c>
      <c r="J126" s="853">
        <f t="shared" si="14"/>
        <v>74.958297256511273</v>
      </c>
      <c r="K126" s="853">
        <f t="shared" si="14"/>
        <v>74.958297256511273</v>
      </c>
      <c r="L126" s="853">
        <f t="shared" si="14"/>
        <v>74.958297256511273</v>
      </c>
      <c r="M126" s="853">
        <f t="shared" si="14"/>
        <v>74.958297256511273</v>
      </c>
      <c r="R126" s="52"/>
      <c r="S126" s="36"/>
    </row>
    <row r="127" spans="1:19" x14ac:dyDescent="0.15">
      <c r="A127" s="26"/>
      <c r="B127" s="8" t="s">
        <v>1555</v>
      </c>
      <c r="G127" s="853">
        <f t="shared" si="14"/>
        <v>67.817509889338723</v>
      </c>
      <c r="H127" s="853">
        <f t="shared" si="14"/>
        <v>67.817509889338723</v>
      </c>
      <c r="I127" s="853">
        <f t="shared" si="14"/>
        <v>67.817509889338723</v>
      </c>
      <c r="J127" s="853">
        <f t="shared" si="14"/>
        <v>67.817509889338723</v>
      </c>
      <c r="K127" s="853">
        <f t="shared" si="14"/>
        <v>67.817509889338723</v>
      </c>
      <c r="L127" s="853">
        <f t="shared" si="14"/>
        <v>67.817509889338723</v>
      </c>
      <c r="M127" s="853">
        <f t="shared" si="14"/>
        <v>67.817509889338723</v>
      </c>
      <c r="R127" s="52"/>
      <c r="S127" s="36"/>
    </row>
    <row r="128" spans="1:19" x14ac:dyDescent="0.15">
      <c r="A128" s="26"/>
      <c r="B128" s="8" t="s">
        <v>1556</v>
      </c>
      <c r="G128" s="853">
        <f t="shared" ca="1" si="14"/>
        <v>89.327382925612696</v>
      </c>
      <c r="H128" s="853">
        <f t="shared" ca="1" si="14"/>
        <v>89.327382925612696</v>
      </c>
      <c r="I128" s="853">
        <f t="shared" ca="1" si="14"/>
        <v>89.327382925612696</v>
      </c>
      <c r="J128" s="853">
        <f t="shared" ca="1" si="14"/>
        <v>89.327382925612696</v>
      </c>
      <c r="K128" s="853">
        <f t="shared" ca="1" si="14"/>
        <v>89.327382925612696</v>
      </c>
      <c r="L128" s="853">
        <f t="shared" ca="1" si="14"/>
        <v>89.327382925612696</v>
      </c>
      <c r="M128" s="853">
        <f t="shared" ca="1" si="14"/>
        <v>89.327382925612696</v>
      </c>
      <c r="R128" s="52"/>
      <c r="S128" s="36"/>
    </row>
    <row r="129" spans="1:19" x14ac:dyDescent="0.15">
      <c r="A129" s="26"/>
      <c r="B129" s="8" t="s">
        <v>1557</v>
      </c>
      <c r="G129" s="853">
        <f t="shared" ca="1" si="14"/>
        <v>754.54088830416958</v>
      </c>
      <c r="H129" s="853">
        <f t="shared" ca="1" si="14"/>
        <v>754.54088830416958</v>
      </c>
      <c r="I129" s="853">
        <f t="shared" ca="1" si="14"/>
        <v>754.54088830416958</v>
      </c>
      <c r="J129" s="853">
        <f t="shared" ca="1" si="14"/>
        <v>754.54088830416958</v>
      </c>
      <c r="K129" s="853">
        <f t="shared" ca="1" si="14"/>
        <v>754.54088830416958</v>
      </c>
      <c r="L129" s="853">
        <f t="shared" ca="1" si="14"/>
        <v>754.54088830416958</v>
      </c>
      <c r="M129" s="853">
        <f t="shared" ca="1" si="14"/>
        <v>754.54088830416958</v>
      </c>
      <c r="R129" s="52"/>
      <c r="S129" s="36"/>
    </row>
    <row r="130" spans="1:19" x14ac:dyDescent="0.15">
      <c r="A130" s="26"/>
      <c r="B130" t="s">
        <v>1558</v>
      </c>
      <c r="G130" s="853">
        <f t="shared" ca="1" si="14"/>
        <v>2298.0600746868063</v>
      </c>
      <c r="H130" s="853">
        <f t="shared" ca="1" si="14"/>
        <v>2298.0600746868063</v>
      </c>
      <c r="I130" s="853">
        <f t="shared" ca="1" si="14"/>
        <v>2298.0600746868063</v>
      </c>
      <c r="J130" s="853">
        <f t="shared" ca="1" si="14"/>
        <v>2298.0600746868063</v>
      </c>
      <c r="K130" s="853">
        <f t="shared" ca="1" si="14"/>
        <v>2298.0600746868063</v>
      </c>
      <c r="L130" s="853">
        <f t="shared" ca="1" si="14"/>
        <v>2298.0600746868063</v>
      </c>
      <c r="M130" s="853">
        <f t="shared" ca="1" si="14"/>
        <v>2298.0600746868063</v>
      </c>
    </row>
    <row r="131" spans="1:19" x14ac:dyDescent="0.15">
      <c r="A131" s="26"/>
      <c r="G131" s="36"/>
      <c r="H131" s="36"/>
      <c r="I131" s="36"/>
      <c r="J131" s="36"/>
      <c r="K131" s="36"/>
      <c r="L131" s="36"/>
      <c r="M131" s="36"/>
    </row>
    <row r="132" spans="1:19" ht="14" x14ac:dyDescent="0.15">
      <c r="B132" s="507" t="s">
        <v>1559</v>
      </c>
      <c r="O132" s="36"/>
      <c r="P132" s="36"/>
      <c r="Q132" s="36"/>
    </row>
    <row r="133" spans="1:19" x14ac:dyDescent="0.15">
      <c r="A133" s="26"/>
      <c r="B133" s="8" t="s">
        <v>1560</v>
      </c>
      <c r="G133" s="853">
        <f t="shared" ref="G133:M133" ca="1" si="15">G118+G119+G120+G130</f>
        <v>12327.424851653026</v>
      </c>
      <c r="H133" s="853">
        <f t="shared" ca="1" si="15"/>
        <v>12327.424851653026</v>
      </c>
      <c r="I133" s="853">
        <f t="shared" ca="1" si="15"/>
        <v>12327.424851653026</v>
      </c>
      <c r="J133" s="853">
        <f t="shared" ca="1" si="15"/>
        <v>12327.424851653026</v>
      </c>
      <c r="K133" s="853">
        <f t="shared" ca="1" si="15"/>
        <v>12327.424851653026</v>
      </c>
      <c r="L133" s="853">
        <f t="shared" ca="1" si="15"/>
        <v>12327.424851653026</v>
      </c>
      <c r="M133" s="853">
        <f t="shared" ca="1" si="15"/>
        <v>12327.424851653026</v>
      </c>
      <c r="N133" s="8"/>
    </row>
    <row r="134" spans="1:19" x14ac:dyDescent="0.15">
      <c r="A134" s="26"/>
      <c r="G134" s="1156"/>
      <c r="H134" s="1156"/>
      <c r="I134" s="1156"/>
      <c r="J134" s="1156"/>
      <c r="K134" s="1156"/>
      <c r="L134" s="1156"/>
      <c r="M134" s="1156"/>
      <c r="P134" s="36"/>
    </row>
    <row r="135" spans="1:19" x14ac:dyDescent="0.15">
      <c r="A135" s="26"/>
      <c r="G135" s="36"/>
      <c r="H135" s="36"/>
      <c r="I135" s="36"/>
      <c r="J135" s="36"/>
      <c r="K135" s="36"/>
      <c r="L135" s="36"/>
      <c r="M135" s="36"/>
    </row>
    <row r="137" spans="1:19" x14ac:dyDescent="0.15">
      <c r="G137" s="36"/>
      <c r="H137" s="36"/>
      <c r="I137" s="36"/>
      <c r="J137" s="36"/>
      <c r="K137" s="36"/>
    </row>
    <row r="138" spans="1:19" x14ac:dyDescent="0.15">
      <c r="G138" s="36"/>
      <c r="H138" s="36"/>
      <c r="I138" s="36"/>
      <c r="J138" s="36"/>
      <c r="K138" s="36"/>
    </row>
    <row r="139" spans="1:19" x14ac:dyDescent="0.15">
      <c r="G139" s="36"/>
      <c r="H139" s="36"/>
      <c r="I139" s="36"/>
      <c r="J139" s="36"/>
      <c r="K139" s="36"/>
    </row>
    <row r="140" spans="1:19" x14ac:dyDescent="0.15">
      <c r="G140" s="36"/>
      <c r="H140" s="36"/>
      <c r="I140" s="36"/>
      <c r="J140" s="36"/>
      <c r="K140" s="36"/>
    </row>
    <row r="141" spans="1:19" x14ac:dyDescent="0.15">
      <c r="G141" s="36"/>
      <c r="H141" s="36"/>
      <c r="I141" s="36"/>
      <c r="J141" s="36"/>
      <c r="K141" s="36"/>
    </row>
    <row r="142" spans="1:19" x14ac:dyDescent="0.15">
      <c r="G142" s="36"/>
      <c r="H142" s="36"/>
      <c r="I142" s="36"/>
      <c r="J142" s="36"/>
      <c r="K142" s="36"/>
    </row>
    <row r="143" spans="1:19" x14ac:dyDescent="0.15">
      <c r="G143" s="36"/>
      <c r="H143" s="36"/>
      <c r="I143" s="36"/>
      <c r="J143" s="36"/>
      <c r="K143" s="36"/>
    </row>
    <row r="144" spans="1:19" x14ac:dyDescent="0.15">
      <c r="G144" s="36"/>
      <c r="H144" s="36"/>
      <c r="I144" s="36"/>
      <c r="J144" s="36"/>
      <c r="K144" s="36"/>
    </row>
    <row r="145" spans="7:11" x14ac:dyDescent="0.15">
      <c r="G145" s="36"/>
      <c r="H145" s="36"/>
      <c r="I145" s="36"/>
      <c r="J145" s="36"/>
      <c r="K145" s="36"/>
    </row>
    <row r="146" spans="7:11" x14ac:dyDescent="0.15">
      <c r="G146" s="36"/>
      <c r="H146" s="36"/>
      <c r="I146" s="36"/>
      <c r="J146" s="36"/>
      <c r="K146" s="36"/>
    </row>
    <row r="147" spans="7:11" x14ac:dyDescent="0.15">
      <c r="G147" s="36"/>
      <c r="H147" s="36"/>
      <c r="I147" s="36"/>
      <c r="J147" s="36"/>
      <c r="K147" s="36"/>
    </row>
    <row r="148" spans="7:11" x14ac:dyDescent="0.15">
      <c r="G148" s="36"/>
      <c r="H148" s="36"/>
      <c r="I148" s="36"/>
      <c r="J148" s="36"/>
      <c r="K148" s="36"/>
    </row>
    <row r="149" spans="7:11" x14ac:dyDescent="0.15">
      <c r="G149" s="36"/>
      <c r="H149" s="36"/>
      <c r="I149" s="36"/>
      <c r="J149" s="36"/>
      <c r="K149" s="36"/>
    </row>
    <row r="150" spans="7:11" x14ac:dyDescent="0.15">
      <c r="G150" s="36"/>
      <c r="H150" s="36"/>
      <c r="I150" s="36"/>
      <c r="J150" s="36"/>
      <c r="K150" s="36"/>
    </row>
    <row r="151" spans="7:11" x14ac:dyDescent="0.15">
      <c r="G151" s="36"/>
      <c r="H151" s="36"/>
      <c r="I151" s="36"/>
      <c r="J151" s="36"/>
      <c r="K151" s="36"/>
    </row>
    <row r="152" spans="7:11" x14ac:dyDescent="0.15">
      <c r="G152" s="36"/>
      <c r="H152" s="36"/>
      <c r="I152" s="36"/>
      <c r="J152" s="36"/>
      <c r="K152" s="36"/>
    </row>
    <row r="153" spans="7:11" x14ac:dyDescent="0.15">
      <c r="G153" s="36"/>
      <c r="H153" s="36"/>
      <c r="I153" s="36"/>
      <c r="J153" s="36"/>
      <c r="K153" s="36"/>
    </row>
    <row r="154" spans="7:11" x14ac:dyDescent="0.15">
      <c r="G154" s="36"/>
      <c r="H154" s="36"/>
      <c r="I154" s="36"/>
      <c r="J154" s="36"/>
      <c r="K154" s="36"/>
    </row>
    <row r="155" spans="7:11" x14ac:dyDescent="0.15">
      <c r="G155" s="36"/>
      <c r="H155" s="36"/>
      <c r="I155" s="36"/>
      <c r="J155" s="36"/>
      <c r="K155" s="36"/>
    </row>
    <row r="156" spans="7:11" x14ac:dyDescent="0.15">
      <c r="G156" s="36"/>
      <c r="H156" s="36"/>
      <c r="I156" s="36"/>
      <c r="J156" s="36"/>
      <c r="K156" s="36"/>
    </row>
    <row r="157" spans="7:11" x14ac:dyDescent="0.15">
      <c r="G157" s="36"/>
      <c r="H157" s="36"/>
      <c r="I157" s="36"/>
      <c r="J157" s="36"/>
      <c r="K157" s="36"/>
    </row>
    <row r="158" spans="7:11" x14ac:dyDescent="0.15">
      <c r="G158" s="36"/>
      <c r="H158" s="36"/>
      <c r="I158" s="36"/>
      <c r="J158" s="36"/>
      <c r="K158" s="36"/>
    </row>
    <row r="159" spans="7:11" x14ac:dyDescent="0.15">
      <c r="G159" s="36"/>
      <c r="H159" s="36"/>
      <c r="I159" s="36"/>
      <c r="J159" s="36"/>
      <c r="K159" s="36"/>
    </row>
    <row r="160" spans="7:11" x14ac:dyDescent="0.15">
      <c r="G160" s="36"/>
      <c r="H160" s="36"/>
      <c r="I160" s="36"/>
      <c r="J160" s="36"/>
      <c r="K160" s="36"/>
    </row>
    <row r="161" spans="7:11" x14ac:dyDescent="0.15">
      <c r="G161" s="36"/>
      <c r="H161" s="36"/>
      <c r="I161" s="36"/>
      <c r="J161" s="36"/>
      <c r="K161" s="36"/>
    </row>
    <row r="162" spans="7:11" x14ac:dyDescent="0.15">
      <c r="G162" s="36"/>
      <c r="H162" s="36"/>
      <c r="I162" s="36"/>
      <c r="J162" s="36"/>
      <c r="K162" s="36"/>
    </row>
    <row r="163" spans="7:11" x14ac:dyDescent="0.15">
      <c r="G163" s="36"/>
      <c r="H163" s="36"/>
      <c r="I163" s="36"/>
      <c r="J163" s="36"/>
      <c r="K163" s="36"/>
    </row>
    <row r="164" spans="7:11" x14ac:dyDescent="0.15">
      <c r="G164" s="36"/>
      <c r="H164" s="36"/>
      <c r="I164" s="36"/>
      <c r="J164" s="36"/>
      <c r="K164" s="36"/>
    </row>
  </sheetData>
  <mergeCells count="13">
    <mergeCell ref="N1:O1"/>
    <mergeCell ref="B1:M1"/>
    <mergeCell ref="B2:M2"/>
    <mergeCell ref="B61:M61"/>
    <mergeCell ref="B44:M44"/>
    <mergeCell ref="B25:M25"/>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60" max="16383" man="1"/>
    <brk id="135" max="16383" man="1"/>
    <brk id="190" min="1" max="12" man="1"/>
    <brk id="250" min="1" max="12" man="1"/>
    <brk id="300" min="1" max="12" man="1"/>
  </rowBreaks>
  <colBreaks count="1" manualBreakCount="1">
    <brk id="13" max="1048575"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50D1-805F-404F-B01D-49D9DEFC4697}">
  <sheetPr codeName="Sheet26">
    <tabColor rgb="FF33CCFF"/>
  </sheetPr>
  <dimension ref="B1:P880"/>
  <sheetViews>
    <sheetView workbookViewId="0">
      <pane ySplit="6" topLeftCell="A7" activePane="bottomLeft" state="frozen"/>
      <selection pane="bottomLeft" activeCell="B7" sqref="B7"/>
    </sheetView>
  </sheetViews>
  <sheetFormatPr baseColWidth="10" defaultColWidth="8.5" defaultRowHeight="13" outlineLevelRow="1" x14ac:dyDescent="0.15"/>
  <cols>
    <col min="1" max="1" width="3" customWidth="1"/>
    <col min="2" max="2" width="4.83203125" customWidth="1"/>
    <col min="3" max="3" width="33.5" customWidth="1"/>
    <col min="4" max="4" width="25.83203125" customWidth="1"/>
    <col min="6" max="6" width="13.83203125" customWidth="1"/>
    <col min="7" max="13" width="11.83203125" bestFit="1" customWidth="1"/>
    <col min="14" max="14" width="17.5" bestFit="1" customWidth="1"/>
    <col min="15" max="15" width="18.1640625" bestFit="1" customWidth="1"/>
  </cols>
  <sheetData>
    <row r="1" spans="2:15" ht="19" thickBot="1" x14ac:dyDescent="0.25">
      <c r="B1" s="1344" t="s">
        <v>1492</v>
      </c>
      <c r="C1" s="1344"/>
      <c r="D1" s="1344"/>
      <c r="E1" s="1344"/>
      <c r="F1" s="1344"/>
      <c r="G1" s="1344"/>
      <c r="H1" s="1344"/>
      <c r="I1" s="1344"/>
      <c r="J1" s="1344"/>
      <c r="K1" s="1344"/>
      <c r="L1" s="1344"/>
      <c r="M1" s="1344"/>
      <c r="N1" s="1260" t="s">
        <v>9</v>
      </c>
      <c r="O1" s="1261"/>
    </row>
    <row r="2" spans="2:15" ht="17" thickBot="1" x14ac:dyDescent="0.25">
      <c r="B2" s="1270" t="str">
        <f>Dashboard!B2</f>
        <v>EV with NMC532-G (Power) Electrodes</v>
      </c>
      <c r="C2" s="1271"/>
      <c r="D2" s="1271"/>
      <c r="E2" s="1271"/>
      <c r="F2" s="1271"/>
      <c r="G2" s="1271"/>
      <c r="H2" s="1271"/>
      <c r="I2" s="1271"/>
      <c r="J2" s="1271"/>
      <c r="K2" s="1271"/>
      <c r="L2" s="1271"/>
      <c r="M2" s="1272"/>
      <c r="N2" s="987" t="s">
        <v>8</v>
      </c>
      <c r="O2" s="988" t="s">
        <v>10</v>
      </c>
    </row>
    <row r="3" spans="2:15" ht="16" x14ac:dyDescent="0.2">
      <c r="B3" s="1291" t="s">
        <v>132</v>
      </c>
      <c r="C3" s="1318"/>
      <c r="D3" s="1318"/>
      <c r="E3" s="1318"/>
      <c r="F3" s="1318"/>
      <c r="G3" s="1318"/>
      <c r="H3" s="1318"/>
      <c r="I3" s="1318"/>
      <c r="J3" s="1318"/>
      <c r="K3" s="1318"/>
      <c r="L3" s="1318"/>
      <c r="M3" s="1319"/>
      <c r="N3" s="989" t="s">
        <v>15</v>
      </c>
      <c r="O3" s="988" t="s">
        <v>16</v>
      </c>
    </row>
    <row r="4" spans="2:15" x14ac:dyDescent="0.15">
      <c r="B4" s="1293" t="s">
        <v>298</v>
      </c>
      <c r="C4" s="1320"/>
      <c r="D4" s="1320"/>
      <c r="E4" s="1321"/>
      <c r="F4" s="180"/>
      <c r="G4" s="1294" t="s">
        <v>12</v>
      </c>
      <c r="H4" s="1325"/>
      <c r="I4" s="1325"/>
      <c r="J4" s="1325"/>
      <c r="K4" s="1325"/>
      <c r="L4" s="1325"/>
      <c r="M4" s="1326"/>
      <c r="N4" s="986" t="s">
        <v>17</v>
      </c>
      <c r="O4" s="988" t="s">
        <v>18</v>
      </c>
    </row>
    <row r="5" spans="2:15" ht="14" thickBot="1" x14ac:dyDescent="0.2">
      <c r="B5" s="1296" t="s">
        <v>13</v>
      </c>
      <c r="C5" s="1329"/>
      <c r="D5" s="1329"/>
      <c r="E5" s="1330"/>
      <c r="F5" s="185"/>
      <c r="G5" s="1297" t="s">
        <v>14</v>
      </c>
      <c r="H5" s="1327"/>
      <c r="I5" s="1327"/>
      <c r="J5" s="1327"/>
      <c r="K5" s="1327"/>
      <c r="L5" s="1327"/>
      <c r="M5" s="1328"/>
      <c r="N5" s="986" t="s">
        <v>20</v>
      </c>
      <c r="O5" s="992" t="s">
        <v>21</v>
      </c>
    </row>
    <row r="6" spans="2:15" ht="17" thickBot="1" x14ac:dyDescent="0.25">
      <c r="B6" s="208" t="str">
        <f>IF(_manufact_method=1,"","Warning: Breakdown with overhead only valid if 'Method 1: Packs are produced at the SAME rate (GWh/year) as cells (default)'")</f>
        <v/>
      </c>
      <c r="C6" s="26"/>
      <c r="D6" s="26"/>
      <c r="E6" s="26"/>
      <c r="F6" s="26"/>
      <c r="G6" s="123" t="s">
        <v>56</v>
      </c>
      <c r="H6" s="123" t="s">
        <v>57</v>
      </c>
      <c r="I6" s="123" t="s">
        <v>58</v>
      </c>
      <c r="J6" s="123" t="s">
        <v>59</v>
      </c>
      <c r="K6" s="123" t="s">
        <v>60</v>
      </c>
      <c r="L6" s="123" t="s">
        <v>61</v>
      </c>
      <c r="M6" s="123" t="s">
        <v>62</v>
      </c>
      <c r="N6" s="990" t="s">
        <v>25</v>
      </c>
      <c r="O6" s="991" t="s">
        <v>26</v>
      </c>
    </row>
    <row r="7" spans="2:15" ht="16" x14ac:dyDescent="0.2">
      <c r="B7" s="208"/>
      <c r="C7" s="26"/>
      <c r="D7" s="26"/>
      <c r="E7" s="26"/>
      <c r="F7" s="26"/>
      <c r="G7" s="123"/>
      <c r="H7" s="123"/>
      <c r="I7" s="123"/>
      <c r="J7" s="123"/>
      <c r="K7" s="123"/>
      <c r="L7" s="123"/>
      <c r="M7" s="123"/>
    </row>
    <row r="8" spans="2:15" ht="16" x14ac:dyDescent="0.2">
      <c r="B8" s="5" t="s">
        <v>1064</v>
      </c>
      <c r="C8" s="26"/>
      <c r="D8" s="26"/>
      <c r="E8" s="26"/>
      <c r="F8" s="26"/>
      <c r="G8" s="1214"/>
      <c r="H8" s="1214"/>
      <c r="I8" s="1214"/>
      <c r="J8" s="1214"/>
      <c r="K8" s="1214"/>
      <c r="L8" s="1214"/>
      <c r="M8" s="1214"/>
    </row>
    <row r="9" spans="2:15" x14ac:dyDescent="0.15">
      <c r="B9" t="s">
        <v>164</v>
      </c>
      <c r="C9" s="26"/>
      <c r="D9" s="26"/>
      <c r="E9" s="26"/>
      <c r="F9" s="26"/>
      <c r="G9" s="45">
        <f>'Battery Design'!G31</f>
        <v>400</v>
      </c>
      <c r="H9" s="45">
        <f>'Battery Design'!H31</f>
        <v>400</v>
      </c>
      <c r="I9" s="45">
        <f>'Battery Design'!I31</f>
        <v>400</v>
      </c>
      <c r="J9" s="45">
        <f>'Battery Design'!J31</f>
        <v>400</v>
      </c>
      <c r="K9" s="45">
        <f>'Battery Design'!K31</f>
        <v>400</v>
      </c>
      <c r="L9" s="45">
        <f>'Battery Design'!L31</f>
        <v>400</v>
      </c>
      <c r="M9" s="45">
        <f>'Battery Design'!M31</f>
        <v>400</v>
      </c>
    </row>
    <row r="10" spans="2:15" x14ac:dyDescent="0.15">
      <c r="B10" t="s">
        <v>165</v>
      </c>
      <c r="C10" s="26"/>
      <c r="D10" s="26"/>
      <c r="E10" s="26"/>
      <c r="F10" s="26"/>
      <c r="G10" s="2">
        <f>'Battery Design'!G29</f>
        <v>20</v>
      </c>
      <c r="H10" s="2">
        <f>'Battery Design'!H29</f>
        <v>20</v>
      </c>
      <c r="I10" s="2">
        <f>'Battery Design'!I29</f>
        <v>20</v>
      </c>
      <c r="J10" s="2">
        <f>'Battery Design'!J29</f>
        <v>20</v>
      </c>
      <c r="K10" s="2">
        <f>'Battery Design'!K29</f>
        <v>20</v>
      </c>
      <c r="L10" s="2">
        <f>'Battery Design'!L29</f>
        <v>20</v>
      </c>
      <c r="M10" s="2">
        <f>'Battery Design'!M29</f>
        <v>20</v>
      </c>
    </row>
    <row r="11" spans="2:15" x14ac:dyDescent="0.15">
      <c r="B11" s="8" t="s">
        <v>1065</v>
      </c>
      <c r="C11" s="8"/>
      <c r="D11" s="8"/>
      <c r="E11" s="8"/>
      <c r="F11" s="150"/>
      <c r="G11" s="11">
        <f>'Battery Design'!G$12</f>
        <v>1</v>
      </c>
      <c r="H11" s="11">
        <f>'Battery Design'!H$12</f>
        <v>1</v>
      </c>
      <c r="I11" s="11">
        <f>'Battery Design'!I$12</f>
        <v>1</v>
      </c>
      <c r="J11" s="11">
        <f>'Battery Design'!J$12</f>
        <v>1</v>
      </c>
      <c r="K11" s="11">
        <f>'Battery Design'!K$12</f>
        <v>1</v>
      </c>
      <c r="L11" s="11">
        <f>'Battery Design'!L$12</f>
        <v>1</v>
      </c>
      <c r="M11" s="11">
        <f>'Battery Design'!M$12</f>
        <v>1</v>
      </c>
    </row>
    <row r="12" spans="2:15" ht="14" thickBot="1" x14ac:dyDescent="0.2">
      <c r="C12" s="26"/>
      <c r="D12" s="26"/>
      <c r="E12" s="26"/>
      <c r="F12" s="26"/>
      <c r="G12" s="3"/>
      <c r="H12" s="3"/>
      <c r="I12" s="3"/>
      <c r="J12" s="3"/>
      <c r="K12" s="3"/>
      <c r="L12" s="3"/>
      <c r="M12" s="3"/>
    </row>
    <row r="13" spans="2:15" ht="21" thickBot="1" x14ac:dyDescent="0.25">
      <c r="B13" s="1262" t="s">
        <v>1273</v>
      </c>
      <c r="C13" s="1263"/>
      <c r="D13" s="1263"/>
      <c r="E13" s="1263"/>
      <c r="F13" s="1263"/>
      <c r="G13" s="1263"/>
      <c r="H13" s="1263"/>
      <c r="I13" s="1263"/>
      <c r="J13" s="1263"/>
      <c r="K13" s="1263"/>
      <c r="L13" s="1263"/>
      <c r="M13" s="1264"/>
    </row>
    <row r="14" spans="2:15" ht="18" x14ac:dyDescent="0.2">
      <c r="B14" s="503"/>
      <c r="C14" s="503"/>
      <c r="D14" s="503"/>
      <c r="E14" s="503"/>
      <c r="F14" s="503"/>
      <c r="G14" s="503"/>
      <c r="H14" s="503"/>
      <c r="I14" s="503"/>
      <c r="J14" s="503"/>
      <c r="K14" s="503"/>
      <c r="L14" s="503"/>
      <c r="M14" s="503"/>
    </row>
    <row r="15" spans="2:15" ht="14.25" customHeight="1" x14ac:dyDescent="0.15">
      <c r="B15" s="8" t="str">
        <f>'Manufacturing Costs'!B484</f>
        <v>Pack manufacturing strategy: Method 1: Packs are produced at the SAME rate (GWh/year) as cells (default)</v>
      </c>
      <c r="E15" s="476">
        <f>'Manufacturing Costs'!E484</f>
        <v>1</v>
      </c>
      <c r="F15" s="8" t="s">
        <v>247</v>
      </c>
      <c r="H15" s="95"/>
    </row>
    <row r="16" spans="2:15" x14ac:dyDescent="0.15">
      <c r="E16" s="45"/>
      <c r="H16" s="95"/>
    </row>
    <row r="17" spans="2:15" x14ac:dyDescent="0.15">
      <c r="B17" s="8" t="str">
        <f>'Manufacturing Costs'!B486</f>
        <v>Pack cost option: Cost to consumer - includes pack profit/warranty (Default)</v>
      </c>
      <c r="E17" s="476">
        <f>'Manufacturing Costs'!E486</f>
        <v>1</v>
      </c>
      <c r="F17" s="8" t="s">
        <v>247</v>
      </c>
      <c r="H17" s="95"/>
    </row>
    <row r="18" spans="2:15" x14ac:dyDescent="0.15">
      <c r="H18" s="95"/>
    </row>
    <row r="19" spans="2:15" ht="14" x14ac:dyDescent="0.15">
      <c r="B19" s="1345" t="s">
        <v>248</v>
      </c>
      <c r="C19" s="1345"/>
      <c r="D19" s="1345"/>
      <c r="E19" s="694" t="s">
        <v>249</v>
      </c>
      <c r="H19" s="95"/>
    </row>
    <row r="20" spans="2:15" ht="14" x14ac:dyDescent="0.15">
      <c r="B20" s="16"/>
      <c r="C20" s="16"/>
      <c r="E20" s="863"/>
      <c r="H20" s="95"/>
    </row>
    <row r="21" spans="2:15" x14ac:dyDescent="0.15">
      <c r="B21" s="8" t="s">
        <v>250</v>
      </c>
      <c r="E21" s="476" t="str">
        <f>'Manufacturing Costs'!E490</f>
        <v/>
      </c>
      <c r="F21" s="26"/>
      <c r="H21" s="95"/>
    </row>
    <row r="22" spans="2:15" x14ac:dyDescent="0.15">
      <c r="B22" s="8" t="s">
        <v>251</v>
      </c>
      <c r="E22" s="476" t="str">
        <f>'Manufacturing Costs'!E491</f>
        <v>x</v>
      </c>
      <c r="F22" s="26"/>
      <c r="H22" s="95"/>
    </row>
    <row r="23" spans="2:15" x14ac:dyDescent="0.15">
      <c r="B23" s="8" t="s">
        <v>252</v>
      </c>
      <c r="E23" s="476" t="str">
        <f>'Manufacturing Costs'!E492</f>
        <v>x</v>
      </c>
      <c r="F23" s="26"/>
      <c r="H23" s="95"/>
    </row>
    <row r="24" spans="2:15" x14ac:dyDescent="0.15">
      <c r="B24" s="8"/>
      <c r="D24" s="26"/>
      <c r="E24" s="8"/>
      <c r="F24" s="26"/>
      <c r="H24" s="95"/>
    </row>
    <row r="25" spans="2:15" ht="14" thickBot="1" x14ac:dyDescent="0.2">
      <c r="C25" s="26"/>
      <c r="D25" s="26"/>
      <c r="E25" s="26"/>
      <c r="F25" s="26"/>
      <c r="G25" s="3"/>
      <c r="H25" s="3"/>
      <c r="I25" s="3"/>
      <c r="J25" s="3"/>
      <c r="K25" s="3"/>
      <c r="L25" s="3"/>
      <c r="M25" s="3"/>
    </row>
    <row r="26" spans="2:15" ht="21" thickBot="1" x14ac:dyDescent="0.25">
      <c r="B26" s="1262" t="s">
        <v>1506</v>
      </c>
      <c r="C26" s="1263"/>
      <c r="D26" s="1263"/>
      <c r="E26" s="1263"/>
      <c r="F26" s="1263"/>
      <c r="G26" s="1263"/>
      <c r="H26" s="1263"/>
      <c r="I26" s="1263"/>
      <c r="J26" s="1263"/>
      <c r="K26" s="1263"/>
      <c r="L26" s="1263"/>
      <c r="M26" s="1264"/>
    </row>
    <row r="27" spans="2:15" x14ac:dyDescent="0.15">
      <c r="C27" s="26"/>
      <c r="D27" s="26"/>
      <c r="E27" s="26"/>
      <c r="F27" s="26"/>
      <c r="G27" s="3"/>
      <c r="H27" s="3"/>
      <c r="I27" s="3"/>
      <c r="J27" s="3"/>
      <c r="K27" s="3"/>
      <c r="L27" s="3"/>
      <c r="M27" s="3"/>
    </row>
    <row r="28" spans="2:15" ht="16" outlineLevel="1" x14ac:dyDescent="0.2">
      <c r="B28" s="5" t="s">
        <v>1561</v>
      </c>
      <c r="C28" s="26"/>
      <c r="D28" s="26"/>
      <c r="E28" s="26"/>
      <c r="F28" s="26"/>
      <c r="G28" s="3"/>
      <c r="H28" s="3"/>
      <c r="I28" s="3"/>
      <c r="J28" s="3"/>
      <c r="K28" s="3"/>
      <c r="L28" s="3"/>
      <c r="M28" s="3"/>
    </row>
    <row r="29" spans="2:15" ht="14" outlineLevel="1" x14ac:dyDescent="0.15">
      <c r="B29" s="507" t="s">
        <v>1540</v>
      </c>
      <c r="C29" s="26"/>
      <c r="D29" s="26"/>
      <c r="E29" s="26"/>
      <c r="F29" s="26"/>
      <c r="G29" s="3"/>
      <c r="H29" s="3"/>
      <c r="I29" s="3"/>
      <c r="J29" s="3"/>
      <c r="K29" s="3"/>
      <c r="L29" s="3"/>
      <c r="M29" s="3"/>
    </row>
    <row r="30" spans="2:15" outlineLevel="1" x14ac:dyDescent="0.15">
      <c r="B30" s="8" t="s">
        <v>1562</v>
      </c>
      <c r="C30" s="26"/>
      <c r="D30" s="26"/>
      <c r="E30" s="26"/>
      <c r="F30" s="26"/>
      <c r="G30" s="1035">
        <f ca="1">G$9*'Manufacturing Costs'!G127*(1-Lists!$C$154)*(1-Lists!$D$154)</f>
        <v>5036.8425880690374</v>
      </c>
      <c r="H30" s="1035">
        <f ca="1">H9*'Manufacturing Costs'!H127*(1-Lists!$C$154-Lists!$D$154)</f>
        <v>5036.8425880690374</v>
      </c>
      <c r="I30" s="1035">
        <f ca="1">I9*'Manufacturing Costs'!I127*(1-Lists!$C$154-Lists!$D$154)</f>
        <v>5036.8425880690374</v>
      </c>
      <c r="J30" s="1035">
        <f ca="1">J9*'Manufacturing Costs'!J127*(1-Lists!$C$154-Lists!$D$154)</f>
        <v>5036.8425880690374</v>
      </c>
      <c r="K30" s="1035">
        <f ca="1">K9*'Manufacturing Costs'!K127*(1-Lists!$C$154-Lists!$D$154)</f>
        <v>5036.8425880690374</v>
      </c>
      <c r="L30" s="1035">
        <f ca="1">L9*'Manufacturing Costs'!L127*(1-Lists!$C$154-Lists!$D$154)</f>
        <v>5036.8425880690374</v>
      </c>
      <c r="M30" s="1035">
        <f ca="1">M9*'Manufacturing Costs'!M127*(1-Lists!$C$154-Lists!$D$154)</f>
        <v>5036.8425880690374</v>
      </c>
      <c r="O30" s="47"/>
    </row>
    <row r="31" spans="2:15" outlineLevel="1" x14ac:dyDescent="0.15">
      <c r="B31" s="8" t="s">
        <v>1563</v>
      </c>
      <c r="C31" s="26"/>
      <c r="D31" s="26"/>
      <c r="E31" s="26"/>
      <c r="F31" s="26"/>
      <c r="G31" s="1035">
        <f ca="1">G$9*'Manufacturing Costs'!G133*(1-Lists!$C$154)*(1-Lists!$D$154)</f>
        <v>864.71617813993259</v>
      </c>
      <c r="H31" s="1035">
        <f ca="1">H$9*'Manufacturing Costs'!H133*(1-Lists!$C$154-Lists!$D$154)</f>
        <v>864.71617813993259</v>
      </c>
      <c r="I31" s="1035">
        <f ca="1">I$9*'Manufacturing Costs'!I133*(1-Lists!$C$154-Lists!$D$154)</f>
        <v>864.71617813993259</v>
      </c>
      <c r="J31" s="1035">
        <f ca="1">J$9*'Manufacturing Costs'!J133*(1-Lists!$C$154-Lists!$D$154)</f>
        <v>864.71617813993259</v>
      </c>
      <c r="K31" s="1035">
        <f ca="1">K$9*'Manufacturing Costs'!K133*(1-Lists!$C$154-Lists!$D$154)</f>
        <v>864.71617813993259</v>
      </c>
      <c r="L31" s="1035">
        <f ca="1">L$9*'Manufacturing Costs'!L133*(1-Lists!$C$154-Lists!$D$154)</f>
        <v>864.71617813993259</v>
      </c>
      <c r="M31" s="1035">
        <f ca="1">M$9*'Manufacturing Costs'!M133*(1-Lists!$C$154-Lists!$D$154)</f>
        <v>864.71617813993259</v>
      </c>
    </row>
    <row r="32" spans="2:15" outlineLevel="1" x14ac:dyDescent="0.15">
      <c r="B32" s="8" t="s">
        <v>1564</v>
      </c>
      <c r="C32" s="26"/>
      <c r="D32" s="26"/>
      <c r="E32" s="26"/>
      <c r="F32" s="26"/>
      <c r="G32" s="1035">
        <f ca="1">G$9*('Manufacturing Costs'!G128+'Manufacturing Costs'!G134)*(1-Lists!$C$154)*(1-Lists!$D$154)</f>
        <v>62.409543127553</v>
      </c>
      <c r="H32" s="1035">
        <f ca="1">H$9*('Manufacturing Costs'!H128+'Manufacturing Costs'!H134)*(1-Lists!$C$154-Lists!$D$154)</f>
        <v>62.409543127553</v>
      </c>
      <c r="I32" s="1035">
        <f ca="1">I$9*('Manufacturing Costs'!I128+'Manufacturing Costs'!I134)*(1-Lists!$C$154-Lists!$D$154)</f>
        <v>62.409543127553</v>
      </c>
      <c r="J32" s="1035">
        <f ca="1">J$9*('Manufacturing Costs'!J128+'Manufacturing Costs'!J134)*(1-Lists!$C$154-Lists!$D$154)</f>
        <v>62.409543127553</v>
      </c>
      <c r="K32" s="1035">
        <f ca="1">K$9*('Manufacturing Costs'!K128+'Manufacturing Costs'!K134)*(1-Lists!$C$154-Lists!$D$154)</f>
        <v>62.409543127553</v>
      </c>
      <c r="L32" s="1035">
        <f ca="1">L$9*('Manufacturing Costs'!L128+'Manufacturing Costs'!L134)*(1-Lists!$C$154-Lists!$D$154)</f>
        <v>62.409543127553</v>
      </c>
      <c r="M32" s="1035">
        <f ca="1">M$9*('Manufacturing Costs'!M128+'Manufacturing Costs'!M134)*(1-Lists!$C$154-Lists!$D$154)</f>
        <v>62.409543127553</v>
      </c>
    </row>
    <row r="33" spans="2:14" outlineLevel="1" x14ac:dyDescent="0.15">
      <c r="B33" s="8" t="s">
        <v>1565</v>
      </c>
      <c r="C33" s="26"/>
      <c r="D33" s="26"/>
      <c r="E33" s="26"/>
      <c r="F33" s="26"/>
      <c r="G33" s="1035">
        <f ca="1">G$9*('Manufacturing Costs'!G129+'Manufacturing Costs'!G135)*(1-Lists!$C$154)*(1-Lists!$D$154)</f>
        <v>71.871512186088012</v>
      </c>
      <c r="H33" s="1035">
        <f ca="1">H$9*('Manufacturing Costs'!H129+'Manufacturing Costs'!H135)*(1-Lists!$C$154-Lists!$D$154)</f>
        <v>71.871512186088012</v>
      </c>
      <c r="I33" s="1035">
        <f ca="1">I$9*('Manufacturing Costs'!I129+'Manufacturing Costs'!I135)*(1-Lists!$C$154-Lists!$D$154)</f>
        <v>71.871512186088012</v>
      </c>
      <c r="J33" s="1035">
        <f ca="1">J$9*('Manufacturing Costs'!J129+'Manufacturing Costs'!J135)*(1-Lists!$C$154-Lists!$D$154)</f>
        <v>71.871512186088012</v>
      </c>
      <c r="K33" s="1035">
        <f ca="1">K$9*('Manufacturing Costs'!K129+'Manufacturing Costs'!K135)*(1-Lists!$C$154-Lists!$D$154)</f>
        <v>71.871512186088012</v>
      </c>
      <c r="L33" s="1035">
        <f ca="1">L$9*('Manufacturing Costs'!L129+'Manufacturing Costs'!L135)*(1-Lists!$C$154-Lists!$D$154)</f>
        <v>71.871512186088012</v>
      </c>
      <c r="M33" s="1035">
        <f ca="1">M$9*('Manufacturing Costs'!M129+'Manufacturing Costs'!M135)*(1-Lists!$C$154-Lists!$D$154)</f>
        <v>71.871512186088012</v>
      </c>
    </row>
    <row r="34" spans="2:14" outlineLevel="1" x14ac:dyDescent="0.15">
      <c r="B34" s="8" t="s">
        <v>1566</v>
      </c>
      <c r="C34" s="26"/>
      <c r="D34" s="26"/>
      <c r="E34" s="26"/>
      <c r="F34" s="26"/>
      <c r="G34" s="1035">
        <f ca="1">G$9*('Manufacturing Costs'!G130+'Manufacturing Costs'!G136)*(1-Lists!$C$154)*(1-Lists!$D$154)</f>
        <v>149.34220988656816</v>
      </c>
      <c r="H34" s="1035">
        <f ca="1">H$9*('Manufacturing Costs'!H130+'Manufacturing Costs'!H136)*(1-Lists!$C$154)*(1-Lists!$D$154)</f>
        <v>149.34220988656816</v>
      </c>
      <c r="I34" s="1035">
        <f ca="1">I$9*('Manufacturing Costs'!I130+'Manufacturing Costs'!I136)*(1-Lists!$C$154)*(1-Lists!$D$154)</f>
        <v>149.34220988656816</v>
      </c>
      <c r="J34" s="1035">
        <f ca="1">J$9*('Manufacturing Costs'!J130+'Manufacturing Costs'!J136)*(1-Lists!$C$154)*(1-Lists!$D$154)</f>
        <v>149.34220988656816</v>
      </c>
      <c r="K34" s="1035">
        <f ca="1">K$9*('Manufacturing Costs'!K130+'Manufacturing Costs'!K136)*(1-Lists!$C$154)*(1-Lists!$D$154)</f>
        <v>149.34220988656816</v>
      </c>
      <c r="L34" s="1035">
        <f ca="1">L$9*('Manufacturing Costs'!L130+'Manufacturing Costs'!L136)*(1-Lists!$C$154)*(1-Lists!$D$154)</f>
        <v>149.34220988656816</v>
      </c>
      <c r="M34" s="1035">
        <f ca="1">M$9*('Manufacturing Costs'!M130+'Manufacturing Costs'!M136)*(1-Lists!$C$154)*(1-Lists!$D$154)</f>
        <v>149.34220988656816</v>
      </c>
    </row>
    <row r="35" spans="2:14" outlineLevel="1" x14ac:dyDescent="0.15">
      <c r="B35" s="8" t="s">
        <v>1567</v>
      </c>
      <c r="C35" s="26"/>
      <c r="D35" s="26"/>
      <c r="E35" s="26"/>
      <c r="F35" s="26"/>
      <c r="G35" s="1035">
        <f ca="1">G$9*'Manufacturing Costs'!G144*(1-Lists!$C$154)*(1-Lists!$D$154)</f>
        <v>61.505325395187342</v>
      </c>
      <c r="H35" s="1035">
        <f ca="1">H$9*'Manufacturing Costs'!H144*(1-Lists!$C$154-Lists!$D$154)</f>
        <v>61.505325395187342</v>
      </c>
      <c r="I35" s="1035">
        <f ca="1">I$9*'Manufacturing Costs'!I144*(1-Lists!$C$154-Lists!$D$154)</f>
        <v>61.505325395187342</v>
      </c>
      <c r="J35" s="1035">
        <f ca="1">J$9*'Manufacturing Costs'!J144*(1-Lists!$C$154-Lists!$D$154)</f>
        <v>61.505325395187342</v>
      </c>
      <c r="K35" s="1035">
        <f ca="1">K$9*'Manufacturing Costs'!K144*(1-Lists!$C$154-Lists!$D$154)</f>
        <v>61.505325395187342</v>
      </c>
      <c r="L35" s="1035">
        <f ca="1">L$9*'Manufacturing Costs'!L144*(1-Lists!$C$154-Lists!$D$154)</f>
        <v>61.505325395187342</v>
      </c>
      <c r="M35" s="1035">
        <f ca="1">M$9*'Manufacturing Costs'!M144*(1-Lists!$C$154-Lists!$D$154)</f>
        <v>61.505325395187342</v>
      </c>
    </row>
    <row r="36" spans="2:14" outlineLevel="1" x14ac:dyDescent="0.15">
      <c r="B36" s="8" t="s">
        <v>1568</v>
      </c>
      <c r="C36" s="26"/>
      <c r="D36" s="26"/>
      <c r="E36" s="26"/>
      <c r="F36" s="26"/>
      <c r="G36" s="1035">
        <f ca="1">G$9*'Manufacturing Costs'!G145*(1-Lists!$C$154)*(1-Lists!$D$154)</f>
        <v>391.49219295501575</v>
      </c>
      <c r="H36" s="1035">
        <f ca="1">H$9*'Manufacturing Costs'!H145*(1-Lists!$C$154-Lists!$D$154)</f>
        <v>391.49219295501575</v>
      </c>
      <c r="I36" s="1035">
        <f ca="1">I$9*'Manufacturing Costs'!I145*(1-Lists!$C$154-Lists!$D$154)</f>
        <v>391.49219295501575</v>
      </c>
      <c r="J36" s="1035">
        <f ca="1">J$9*'Manufacturing Costs'!J145*(1-Lists!$C$154-Lists!$D$154)</f>
        <v>391.49219295501575</v>
      </c>
      <c r="K36" s="1035">
        <f ca="1">K$9*'Manufacturing Costs'!K145*(1-Lists!$C$154-Lists!$D$154)</f>
        <v>391.49219295501575</v>
      </c>
      <c r="L36" s="1035">
        <f ca="1">L$9*'Manufacturing Costs'!L145*(1-Lists!$C$154-Lists!$D$154)</f>
        <v>391.49219295501575</v>
      </c>
      <c r="M36" s="1035">
        <f ca="1">M$9*'Manufacturing Costs'!M145*(1-Lists!$C$154-Lists!$D$154)</f>
        <v>391.49219295501575</v>
      </c>
    </row>
    <row r="37" spans="2:14" outlineLevel="1" x14ac:dyDescent="0.15">
      <c r="B37" s="8" t="s">
        <v>1569</v>
      </c>
      <c r="C37" s="26"/>
      <c r="D37" s="26"/>
      <c r="E37" s="26"/>
      <c r="F37" s="26"/>
      <c r="G37" s="1035">
        <f ca="1">G$9*'Manufacturing Costs'!G146*(1-Lists!$C$154)*(1-Lists!$D$154)</f>
        <v>466.06942664422854</v>
      </c>
      <c r="H37" s="1035">
        <f ca="1">H$9*'Manufacturing Costs'!H146*(1-Lists!$C$154-Lists!$D$154)</f>
        <v>466.06942664422854</v>
      </c>
      <c r="I37" s="1035">
        <f ca="1">I$9*'Manufacturing Costs'!I146*(1-Lists!$C$154-Lists!$D$154)</f>
        <v>466.06942664422854</v>
      </c>
      <c r="J37" s="1035">
        <f ca="1">J$9*'Manufacturing Costs'!J146*(1-Lists!$C$154-Lists!$D$154)</f>
        <v>466.06942664422854</v>
      </c>
      <c r="K37" s="1035">
        <f ca="1">K$9*'Manufacturing Costs'!K146*(1-Lists!$C$154-Lists!$D$154)</f>
        <v>466.06942664422854</v>
      </c>
      <c r="L37" s="1035">
        <f ca="1">L$9*'Manufacturing Costs'!L146*(1-Lists!$C$154-Lists!$D$154)</f>
        <v>466.06942664422854</v>
      </c>
      <c r="M37" s="1035">
        <f ca="1">M$9*'Manufacturing Costs'!M146*(1-Lists!$C$154-Lists!$D$154)</f>
        <v>466.06942664422854</v>
      </c>
    </row>
    <row r="38" spans="2:14" outlineLevel="1" x14ac:dyDescent="0.15">
      <c r="B38" s="8" t="s">
        <v>1570</v>
      </c>
      <c r="C38" s="26"/>
      <c r="D38" s="26"/>
      <c r="E38" s="26"/>
      <c r="F38" s="26"/>
      <c r="G38" s="1035">
        <f ca="1">G$9*'Manufacturing Costs'!G147*(1-Lists!$C$154)*(1-Lists!$D$154)</f>
        <v>459.46998003588203</v>
      </c>
      <c r="H38" s="1035">
        <f ca="1">H$9*'Manufacturing Costs'!H147*(1-Lists!$C$154-Lists!$D$154)</f>
        <v>459.46998003588203</v>
      </c>
      <c r="I38" s="1035">
        <f ca="1">I$9*'Manufacturing Costs'!I147*(1-Lists!$C$154-Lists!$D$154)</f>
        <v>459.46998003588203</v>
      </c>
      <c r="J38" s="1035">
        <f ca="1">J$9*'Manufacturing Costs'!J147*(1-Lists!$C$154-Lists!$D$154)</f>
        <v>459.46998003588203</v>
      </c>
      <c r="K38" s="1035">
        <f ca="1">K$9*'Manufacturing Costs'!K147*(1-Lists!$C$154-Lists!$D$154)</f>
        <v>459.46998003588203</v>
      </c>
      <c r="L38" s="1035">
        <f ca="1">L$9*'Manufacturing Costs'!L147*(1-Lists!$C$154-Lists!$D$154)</f>
        <v>459.46998003588203</v>
      </c>
      <c r="M38" s="1035">
        <f ca="1">M$9*'Manufacturing Costs'!M147*(1-Lists!$C$154-Lists!$D$154)</f>
        <v>459.46998003588203</v>
      </c>
    </row>
    <row r="39" spans="2:14" outlineLevel="1" x14ac:dyDescent="0.15">
      <c r="B39" s="8" t="s">
        <v>1571</v>
      </c>
      <c r="C39" s="26"/>
      <c r="D39" s="26"/>
      <c r="E39" s="26"/>
      <c r="F39" s="26"/>
      <c r="G39" s="1035">
        <f ca="1">G$9*SUM('Manufacturing Costs'!G139:G141)*(1-Lists!$C$154)*(1-Lists!$D$154)</f>
        <v>0</v>
      </c>
      <c r="H39" s="1035">
        <f ca="1">H$9*SUM('Manufacturing Costs'!H139:H141)*(1-Lists!$C$154-Lists!$D$154)</f>
        <v>0</v>
      </c>
      <c r="I39" s="1035">
        <f ca="1">I$9*SUM('Manufacturing Costs'!I139:I141)*(1-Lists!$C$154-Lists!$D$154)</f>
        <v>0</v>
      </c>
      <c r="J39" s="1035">
        <f ca="1">J$9*SUM('Manufacturing Costs'!J139:J141)*(1-Lists!$C$154-Lists!$D$154)</f>
        <v>0</v>
      </c>
      <c r="K39" s="1035">
        <f ca="1">K$9*SUM('Manufacturing Costs'!K139:K141)*(1-Lists!$C$154-Lists!$D$154)</f>
        <v>0</v>
      </c>
      <c r="L39" s="1035">
        <f ca="1">L$9*SUM('Manufacturing Costs'!L139:L141)*(1-Lists!$C$154-Lists!$D$154)</f>
        <v>0</v>
      </c>
      <c r="M39" s="1035">
        <f ca="1">M$9*SUM('Manufacturing Costs'!M139:M141)*(1-Lists!$C$154-Lists!$D$154)</f>
        <v>0</v>
      </c>
    </row>
    <row r="40" spans="2:14" outlineLevel="1" x14ac:dyDescent="0.15">
      <c r="B40" s="8" t="s">
        <v>1572</v>
      </c>
      <c r="C40" s="95"/>
      <c r="D40" s="8"/>
      <c r="E40" s="8"/>
      <c r="F40" s="375"/>
      <c r="G40" s="854">
        <f t="shared" ref="G40:M40" ca="1" si="0">SUM(G30:G39)</f>
        <v>7563.718956439493</v>
      </c>
      <c r="H40" s="854">
        <f t="shared" ca="1" si="0"/>
        <v>7563.718956439493</v>
      </c>
      <c r="I40" s="854">
        <f t="shared" ca="1" si="0"/>
        <v>7563.718956439493</v>
      </c>
      <c r="J40" s="854">
        <f t="shared" ca="1" si="0"/>
        <v>7563.718956439493</v>
      </c>
      <c r="K40" s="854">
        <f t="shared" ca="1" si="0"/>
        <v>7563.718956439493</v>
      </c>
      <c r="L40" s="854">
        <f t="shared" ca="1" si="0"/>
        <v>7563.718956439493</v>
      </c>
      <c r="M40" s="854">
        <f t="shared" ca="1" si="0"/>
        <v>7563.718956439493</v>
      </c>
      <c r="N40" s="562"/>
    </row>
    <row r="41" spans="2:14" outlineLevel="1" x14ac:dyDescent="0.15">
      <c r="B41" s="8"/>
      <c r="C41" s="95"/>
      <c r="D41" s="8"/>
      <c r="E41" s="8"/>
      <c r="F41" s="375"/>
      <c r="G41" s="854"/>
      <c r="H41" s="854"/>
      <c r="I41" s="854"/>
      <c r="J41" s="854"/>
      <c r="K41" s="854"/>
      <c r="L41" s="854"/>
      <c r="M41" s="854"/>
      <c r="N41" s="562"/>
    </row>
    <row r="42" spans="2:14" ht="14" outlineLevel="1" x14ac:dyDescent="0.15">
      <c r="B42" s="507" t="s">
        <v>1573</v>
      </c>
      <c r="C42" s="95"/>
      <c r="D42" s="8"/>
      <c r="E42" s="8"/>
      <c r="F42" s="375"/>
      <c r="G42" s="854"/>
      <c r="H42" s="854"/>
      <c r="I42" s="854"/>
      <c r="J42" s="854"/>
      <c r="K42" s="854"/>
      <c r="L42" s="854"/>
      <c r="M42" s="854"/>
      <c r="N42" s="562"/>
    </row>
    <row r="43" spans="2:14" outlineLevel="1" x14ac:dyDescent="0.15">
      <c r="B43" s="225" t="s">
        <v>1501</v>
      </c>
      <c r="C43" s="26"/>
      <c r="D43" s="26"/>
      <c r="E43" s="26"/>
      <c r="F43" s="26"/>
    </row>
    <row r="44" spans="2:14" outlineLevel="1" x14ac:dyDescent="0.15">
      <c r="B44" s="8" t="s">
        <v>1574</v>
      </c>
      <c r="C44" s="26"/>
      <c r="D44" s="26"/>
      <c r="E44" s="26"/>
      <c r="F44" s="26"/>
      <c r="G44" s="1035">
        <f ca="1">G$9*'Manufacturing Costs'!G148*(1-Lists!$C$154)*(1-Lists!$D$154)</f>
        <v>40.134660937268251</v>
      </c>
      <c r="H44" s="1035">
        <f ca="1">H$9*'Manufacturing Costs'!H148*(1-Lists!$C$154)*(1-Lists!$D$154)</f>
        <v>40.134660937268251</v>
      </c>
      <c r="I44" s="1035">
        <f ca="1">I$9*'Manufacturing Costs'!I148*(1-Lists!$C$154)*(1-Lists!$D$154)</f>
        <v>40.134660937268251</v>
      </c>
      <c r="J44" s="1035">
        <f ca="1">J$9*'Manufacturing Costs'!J148*(1-Lists!$C$154)*(1-Lists!$D$154)</f>
        <v>40.134660937268251</v>
      </c>
      <c r="K44" s="1035">
        <f ca="1">K$9*'Manufacturing Costs'!K148*(1-Lists!$C$154)*(1-Lists!$D$154)</f>
        <v>40.134660937268251</v>
      </c>
      <c r="L44" s="1035">
        <f ca="1">L$9*'Manufacturing Costs'!L148*(1-Lists!$C$154)*(1-Lists!$D$154)</f>
        <v>40.134660937268251</v>
      </c>
      <c r="M44" s="1035">
        <f ca="1">M$9*'Manufacturing Costs'!M148*(1-Lists!$C$154)*(1-Lists!$D$154)</f>
        <v>40.134660937268251</v>
      </c>
    </row>
    <row r="45" spans="2:14" outlineLevel="1" x14ac:dyDescent="0.15">
      <c r="B45" s="8" t="s">
        <v>1575</v>
      </c>
      <c r="C45" s="26"/>
      <c r="D45" s="26"/>
      <c r="E45" s="26"/>
      <c r="F45" s="26"/>
      <c r="G45" s="1035">
        <f ca="1">G$9*'Manufacturing Costs'!G149*(1-Lists!$C$154)*(1-Lists!$D$154)</f>
        <v>84.87274621402095</v>
      </c>
      <c r="H45" s="1035">
        <f ca="1">H$9*'Manufacturing Costs'!H149*(1-Lists!$C$154)*(1-Lists!$D$154)</f>
        <v>84.87274621402095</v>
      </c>
      <c r="I45" s="1035">
        <f ca="1">I$9*'Manufacturing Costs'!I149*(1-Lists!$C$154)*(1-Lists!$D$154)</f>
        <v>84.87274621402095</v>
      </c>
      <c r="J45" s="1035">
        <f ca="1">J$9*'Manufacturing Costs'!J149*(1-Lists!$C$154)*(1-Lists!$D$154)</f>
        <v>84.87274621402095</v>
      </c>
      <c r="K45" s="1035">
        <f ca="1">K$9*'Manufacturing Costs'!K149*(1-Lists!$C$154)*(1-Lists!$D$154)</f>
        <v>84.87274621402095</v>
      </c>
      <c r="L45" s="1035">
        <f ca="1">L$9*'Manufacturing Costs'!L149*(1-Lists!$C$154)*(1-Lists!$D$154)</f>
        <v>84.87274621402095</v>
      </c>
      <c r="M45" s="1035">
        <f ca="1">M$9*'Manufacturing Costs'!M149*(1-Lists!$C$154)*(1-Lists!$D$154)</f>
        <v>84.87274621402095</v>
      </c>
    </row>
    <row r="46" spans="2:14" outlineLevel="1" x14ac:dyDescent="0.15">
      <c r="B46" s="8" t="s">
        <v>1576</v>
      </c>
      <c r="C46" s="26"/>
      <c r="D46" s="26"/>
      <c r="E46" s="26"/>
      <c r="F46" s="26"/>
      <c r="G46" s="1035">
        <f ca="1">G$9*'Manufacturing Costs'!G150*(1-Lists!$C$154)*(1-Lists!$D$154)</f>
        <v>109.39696271395918</v>
      </c>
      <c r="H46" s="1035">
        <f ca="1">H$9*'Manufacturing Costs'!H150*(1-Lists!$C$154)*(1-Lists!$D$154)</f>
        <v>109.39696271395918</v>
      </c>
      <c r="I46" s="1035">
        <f ca="1">I$9*'Manufacturing Costs'!I150*(1-Lists!$C$154)*(1-Lists!$D$154)</f>
        <v>109.39696271395918</v>
      </c>
      <c r="J46" s="1035">
        <f ca="1">J$9*'Manufacturing Costs'!J150*(1-Lists!$C$154)*(1-Lists!$D$154)</f>
        <v>109.39696271395918</v>
      </c>
      <c r="K46" s="1035">
        <f ca="1">K$9*'Manufacturing Costs'!K150*(1-Lists!$C$154)*(1-Lists!$D$154)</f>
        <v>109.39696271395918</v>
      </c>
      <c r="L46" s="1035">
        <f ca="1">L$9*'Manufacturing Costs'!L150*(1-Lists!$C$154)*(1-Lists!$D$154)</f>
        <v>109.39696271395918</v>
      </c>
      <c r="M46" s="1035">
        <f ca="1">M$9*'Manufacturing Costs'!M150*(1-Lists!$C$154)*(1-Lists!$D$154)</f>
        <v>109.39696271395918</v>
      </c>
    </row>
    <row r="47" spans="2:14" outlineLevel="1" x14ac:dyDescent="0.15">
      <c r="B47" s="8" t="s">
        <v>1577</v>
      </c>
      <c r="C47" s="26"/>
      <c r="D47" s="26"/>
      <c r="E47" s="26"/>
      <c r="F47" s="26"/>
      <c r="G47" s="1035">
        <f ca="1">SUM(G44:G46)</f>
        <v>234.40436986524838</v>
      </c>
      <c r="H47" s="1035">
        <f t="shared" ref="H47:M47" ca="1" si="1">SUM(H44:H46)</f>
        <v>234.40436986524838</v>
      </c>
      <c r="I47" s="1035">
        <f t="shared" ca="1" si="1"/>
        <v>234.40436986524838</v>
      </c>
      <c r="J47" s="1035">
        <f t="shared" ca="1" si="1"/>
        <v>234.40436986524838</v>
      </c>
      <c r="K47" s="1035">
        <f t="shared" ca="1" si="1"/>
        <v>234.40436986524838</v>
      </c>
      <c r="L47" s="1035">
        <f t="shared" ca="1" si="1"/>
        <v>234.40436986524838</v>
      </c>
      <c r="M47" s="1035">
        <f t="shared" ca="1" si="1"/>
        <v>234.40436986524838</v>
      </c>
    </row>
    <row r="48" spans="2:14" outlineLevel="1" x14ac:dyDescent="0.15">
      <c r="B48" s="8"/>
      <c r="C48" s="26"/>
      <c r="D48" s="26"/>
      <c r="E48" s="26"/>
      <c r="F48" s="26"/>
      <c r="G48" s="1035"/>
      <c r="H48" s="1035"/>
      <c r="I48" s="1035"/>
      <c r="J48" s="1035"/>
      <c r="K48" s="1035"/>
      <c r="L48" s="1035"/>
      <c r="M48" s="1035"/>
    </row>
    <row r="49" spans="2:14" outlineLevel="1" x14ac:dyDescent="0.15">
      <c r="B49" s="1082" t="s">
        <v>1502</v>
      </c>
      <c r="C49" s="26"/>
      <c r="D49" s="26"/>
      <c r="E49" s="26"/>
      <c r="F49" s="26"/>
      <c r="N49" s="562"/>
    </row>
    <row r="50" spans="2:14" outlineLevel="1" x14ac:dyDescent="0.15">
      <c r="B50" s="247" t="s">
        <v>1578</v>
      </c>
      <c r="C50" s="26"/>
      <c r="D50" s="26"/>
      <c r="E50" s="26"/>
      <c r="F50" s="26"/>
      <c r="G50" s="1035">
        <f ca="1">Lists!$C$154*'Manufacturing Costs'!G539*(1-Lists!$D$154)</f>
        <v>0</v>
      </c>
      <c r="H50" s="1035">
        <f ca="1">Lists!$C$154*'Manufacturing Costs'!H539*(1-Lists!$D$154)</f>
        <v>0</v>
      </c>
      <c r="I50" s="1035">
        <f ca="1">Lists!$C$154*'Manufacturing Costs'!I539*(1-Lists!$D$154)</f>
        <v>0</v>
      </c>
      <c r="J50" s="1035">
        <f ca="1">Lists!$C$154*'Manufacturing Costs'!J539*(1-Lists!$D$154)</f>
        <v>0</v>
      </c>
      <c r="K50" s="1035">
        <f ca="1">Lists!$C$154*'Manufacturing Costs'!K539*(1-Lists!$D$154)</f>
        <v>0</v>
      </c>
      <c r="L50" s="1035">
        <f ca="1">Lists!$C$154*'Manufacturing Costs'!L539*(1-Lists!$D$154)</f>
        <v>0</v>
      </c>
      <c r="M50" s="1035">
        <f ca="1">Lists!$C$154*'Manufacturing Costs'!M539*(1-Lists!$D$154)</f>
        <v>0</v>
      </c>
      <c r="N50" s="562"/>
    </row>
    <row r="51" spans="2:14" outlineLevel="1" x14ac:dyDescent="0.15">
      <c r="B51" s="8" t="s">
        <v>1579</v>
      </c>
      <c r="C51" s="26"/>
      <c r="D51" s="26"/>
      <c r="E51" s="26"/>
      <c r="F51" s="26"/>
      <c r="G51" s="1035">
        <f ca="1">G$10*'Manufacturing Costs'!G155*(1-Lists!$D$154)</f>
        <v>90.134619296267502</v>
      </c>
      <c r="H51" s="1035">
        <f ca="1">H$10*'Manufacturing Costs'!H155*(1-Lists!$D$154)</f>
        <v>90.134619296267502</v>
      </c>
      <c r="I51" s="1035">
        <f ca="1">I$10*'Manufacturing Costs'!I155*(1-Lists!$D$154)</f>
        <v>90.134619296267502</v>
      </c>
      <c r="J51" s="1035">
        <f ca="1">J$10*'Manufacturing Costs'!J155*(1-Lists!$D$154)</f>
        <v>90.134619296267502</v>
      </c>
      <c r="K51" s="1035">
        <f ca="1">K$10*'Manufacturing Costs'!K155*(1-Lists!$D$154)</f>
        <v>90.134619296267502</v>
      </c>
      <c r="L51" s="1035">
        <f ca="1">L$10*'Manufacturing Costs'!L155*(1-Lists!$D$154)</f>
        <v>90.134619296267502</v>
      </c>
      <c r="M51" s="1035">
        <f ca="1">M$10*'Manufacturing Costs'!M155*(1-Lists!$D$154)</f>
        <v>90.134619296267502</v>
      </c>
      <c r="N51" s="562"/>
    </row>
    <row r="52" spans="2:14" outlineLevel="1" x14ac:dyDescent="0.15">
      <c r="B52" s="8" t="s">
        <v>1580</v>
      </c>
      <c r="C52" s="26"/>
      <c r="D52" s="26"/>
      <c r="E52" s="26"/>
      <c r="F52" s="26"/>
      <c r="G52" s="1035">
        <f ca="1">G$10*'Manufacturing Costs'!G156*(1-Lists!$D$154)</f>
        <v>481.52765589543981</v>
      </c>
      <c r="H52" s="1035">
        <f ca="1">H$10*'Manufacturing Costs'!H156*(1-Lists!$D$154)</f>
        <v>481.52765589543981</v>
      </c>
      <c r="I52" s="1035">
        <f ca="1">I$10*'Manufacturing Costs'!I156*(1-Lists!$D$154)</f>
        <v>481.52765589543981</v>
      </c>
      <c r="J52" s="1035">
        <f ca="1">J$10*'Manufacturing Costs'!J156*(1-Lists!$D$154)</f>
        <v>481.52765589543981</v>
      </c>
      <c r="K52" s="1035">
        <f ca="1">K$10*'Manufacturing Costs'!K156*(1-Lists!$D$154)</f>
        <v>481.52765589543981</v>
      </c>
      <c r="L52" s="1035">
        <f ca="1">L$10*'Manufacturing Costs'!L156*(1-Lists!$D$154)</f>
        <v>481.52765589543981</v>
      </c>
      <c r="M52" s="1035">
        <f ca="1">M$10*'Manufacturing Costs'!M156*(1-Lists!$D$154)</f>
        <v>481.52765589543981</v>
      </c>
      <c r="N52" s="562"/>
    </row>
    <row r="53" spans="2:14" outlineLevel="1" x14ac:dyDescent="0.15">
      <c r="B53" s="8" t="s">
        <v>1581</v>
      </c>
      <c r="C53" s="26"/>
      <c r="D53" s="26"/>
      <c r="E53" s="26"/>
      <c r="F53" s="26"/>
      <c r="G53" s="1035">
        <f ca="1">G$10*'Manufacturing Costs'!G157*(1-Lists!$D$154)</f>
        <v>82.172786561364205</v>
      </c>
      <c r="H53" s="1035">
        <f ca="1">H$10*'Manufacturing Costs'!H157*(1-Lists!$D$154)</f>
        <v>82.172786561364205</v>
      </c>
      <c r="I53" s="1035">
        <f ca="1">I$10*'Manufacturing Costs'!I157*(1-Lists!$D$154)</f>
        <v>82.172786561364205</v>
      </c>
      <c r="J53" s="1035">
        <f ca="1">J$10*'Manufacturing Costs'!J157*(1-Lists!$D$154)</f>
        <v>82.172786561364205</v>
      </c>
      <c r="K53" s="1035">
        <f ca="1">K$10*'Manufacturing Costs'!K157*(1-Lists!$D$154)</f>
        <v>82.172786561364205</v>
      </c>
      <c r="L53" s="1035">
        <f ca="1">L$10*'Manufacturing Costs'!L157*(1-Lists!$D$154)</f>
        <v>82.172786561364205</v>
      </c>
      <c r="M53" s="1035">
        <f ca="1">M$10*'Manufacturing Costs'!M157*(1-Lists!$D$154)</f>
        <v>82.172786561364205</v>
      </c>
      <c r="N53" s="562"/>
    </row>
    <row r="54" spans="2:14" outlineLevel="1" x14ac:dyDescent="0.15">
      <c r="B54" s="9" t="s">
        <v>1582</v>
      </c>
      <c r="C54" s="26"/>
      <c r="D54" s="26"/>
      <c r="E54" s="26"/>
      <c r="F54" s="26"/>
      <c r="G54" s="1035">
        <f ca="1">G$10*'Manufacturing Costs'!G158*(1-Lists!$D$154)</f>
        <v>19.089853852809256</v>
      </c>
      <c r="H54" s="1035">
        <f ca="1">H$10*'Manufacturing Costs'!H158*(1-Lists!$D$154)</f>
        <v>19.089853852809256</v>
      </c>
      <c r="I54" s="1035">
        <f ca="1">I$10*'Manufacturing Costs'!I158*(1-Lists!$D$154)</f>
        <v>19.089853852809256</v>
      </c>
      <c r="J54" s="1035">
        <f ca="1">J$10*'Manufacturing Costs'!J158*(1-Lists!$D$154)</f>
        <v>19.089853852809256</v>
      </c>
      <c r="K54" s="1035">
        <f ca="1">K$10*'Manufacturing Costs'!K158*(1-Lists!$D$154)</f>
        <v>19.089853852809256</v>
      </c>
      <c r="L54" s="1035">
        <f ca="1">L$10*'Manufacturing Costs'!L158*(1-Lists!$D$154)</f>
        <v>19.089853852809256</v>
      </c>
      <c r="M54" s="1035">
        <f ca="1">M$10*'Manufacturing Costs'!M158*(1-Lists!$D$154)</f>
        <v>19.089853852809256</v>
      </c>
      <c r="N54" s="562"/>
    </row>
    <row r="55" spans="2:14" outlineLevel="1" x14ac:dyDescent="0.15">
      <c r="B55" s="8" t="s">
        <v>1583</v>
      </c>
      <c r="C55" s="26"/>
      <c r="D55" s="26"/>
      <c r="E55" s="26"/>
      <c r="F55" s="26"/>
      <c r="G55" s="1035">
        <f ca="1">G$10*'Manufacturing Costs'!G159*(1-Lists!$D$154)</f>
        <v>15.638030478137036</v>
      </c>
      <c r="H55" s="1035">
        <f ca="1">H$10*'Manufacturing Costs'!H159*(1-Lists!$D$154)</f>
        <v>15.638030478137036</v>
      </c>
      <c r="I55" s="1035">
        <f ca="1">I$10*'Manufacturing Costs'!I159*(1-Lists!$D$154)</f>
        <v>15.638030478137036</v>
      </c>
      <c r="J55" s="1035">
        <f ca="1">J$10*'Manufacturing Costs'!J159*(1-Lists!$D$154)</f>
        <v>15.638030478137036</v>
      </c>
      <c r="K55" s="1035">
        <f ca="1">K$10*'Manufacturing Costs'!K159*(1-Lists!$D$154)</f>
        <v>15.638030478137036</v>
      </c>
      <c r="L55" s="1035">
        <f ca="1">L$10*'Manufacturing Costs'!L159*(1-Lists!$D$154)</f>
        <v>15.638030478137036</v>
      </c>
      <c r="M55" s="1035">
        <f ca="1">M$10*'Manufacturing Costs'!M159*(1-Lists!$D$154)</f>
        <v>15.638030478137036</v>
      </c>
      <c r="N55" s="562"/>
    </row>
    <row r="56" spans="2:14" outlineLevel="1" x14ac:dyDescent="0.15">
      <c r="B56" s="8" t="s">
        <v>1584</v>
      </c>
      <c r="C56" s="26"/>
      <c r="D56" s="26"/>
      <c r="E56" s="26"/>
      <c r="F56" s="26"/>
      <c r="G56" s="1035">
        <f ca="1">G$10*'Manufacturing Costs'!G160*(1-Lists!$D$154)</f>
        <v>71.66878347090109</v>
      </c>
      <c r="H56" s="1035">
        <f ca="1">H$10*'Manufacturing Costs'!H160*(1-Lists!$D$154)</f>
        <v>71.66878347090109</v>
      </c>
      <c r="I56" s="1035">
        <f ca="1">I$10*'Manufacturing Costs'!I160*(1-Lists!$D$154)</f>
        <v>71.66878347090109</v>
      </c>
      <c r="J56" s="1035">
        <f ca="1">J$10*'Manufacturing Costs'!J160*(1-Lists!$D$154)</f>
        <v>71.66878347090109</v>
      </c>
      <c r="K56" s="1035">
        <f ca="1">K$10*'Manufacturing Costs'!K160*(1-Lists!$D$154)</f>
        <v>71.66878347090109</v>
      </c>
      <c r="L56" s="1035">
        <f ca="1">L$10*'Manufacturing Costs'!L160*(1-Lists!$D$154)</f>
        <v>71.66878347090109</v>
      </c>
      <c r="M56" s="1035">
        <f ca="1">M$10*'Manufacturing Costs'!M160*(1-Lists!$D$154)</f>
        <v>71.66878347090109</v>
      </c>
      <c r="N56" s="562"/>
    </row>
    <row r="57" spans="2:14" outlineLevel="1" x14ac:dyDescent="0.15">
      <c r="B57" s="8" t="s">
        <v>1585</v>
      </c>
      <c r="C57" s="26"/>
      <c r="D57" s="26"/>
      <c r="E57" s="26"/>
      <c r="F57" s="26"/>
      <c r="G57" s="1035">
        <f>G$10*'Manufacturing Costs'!G161*(1-Lists!$D$154)</f>
        <v>10</v>
      </c>
      <c r="H57" s="1035">
        <f>H$10*'Manufacturing Costs'!H161*(1-Lists!$D$154)</f>
        <v>10</v>
      </c>
      <c r="I57" s="1035">
        <f>I$10*'Manufacturing Costs'!I161*(1-Lists!$D$154)</f>
        <v>10</v>
      </c>
      <c r="J57" s="1035">
        <f>J$10*'Manufacturing Costs'!J161*(1-Lists!$D$154)</f>
        <v>10</v>
      </c>
      <c r="K57" s="1035">
        <f>K$10*'Manufacturing Costs'!K161*(1-Lists!$D$154)</f>
        <v>10</v>
      </c>
      <c r="L57" s="1035">
        <f>L$10*'Manufacturing Costs'!L161*(1-Lists!$D$154)</f>
        <v>10</v>
      </c>
      <c r="M57" s="1035">
        <f>M$10*'Manufacturing Costs'!M161*(1-Lists!$D$154)</f>
        <v>10</v>
      </c>
      <c r="N57" s="562"/>
    </row>
    <row r="58" spans="2:14" outlineLevel="1" x14ac:dyDescent="0.15">
      <c r="B58" s="247" t="s">
        <v>1586</v>
      </c>
      <c r="C58" s="26"/>
      <c r="D58" s="26"/>
      <c r="E58" s="26"/>
      <c r="F58" s="26"/>
      <c r="G58" s="1035">
        <f ca="1">SUM(G50:G57)</f>
        <v>770.23172955491884</v>
      </c>
      <c r="H58" s="1035">
        <f t="shared" ref="H58:M58" ca="1" si="2">SUM(H50:H57)</f>
        <v>770.23172955491884</v>
      </c>
      <c r="I58" s="1035">
        <f t="shared" ca="1" si="2"/>
        <v>770.23172955491884</v>
      </c>
      <c r="J58" s="1035">
        <f t="shared" ca="1" si="2"/>
        <v>770.23172955491884</v>
      </c>
      <c r="K58" s="1035">
        <f t="shared" ca="1" si="2"/>
        <v>770.23172955491884</v>
      </c>
      <c r="L58" s="1035">
        <f t="shared" ca="1" si="2"/>
        <v>770.23172955491884</v>
      </c>
      <c r="M58" s="1035">
        <f t="shared" ca="1" si="2"/>
        <v>770.23172955491884</v>
      </c>
      <c r="N58" s="562"/>
    </row>
    <row r="59" spans="2:14" outlineLevel="1" x14ac:dyDescent="0.15">
      <c r="B59" s="247"/>
      <c r="C59" s="26"/>
      <c r="D59" s="26"/>
      <c r="E59" s="26"/>
      <c r="F59" s="26"/>
      <c r="N59" s="562"/>
    </row>
    <row r="60" spans="2:14" outlineLevel="1" x14ac:dyDescent="0.15">
      <c r="B60" s="1082" t="s">
        <v>1503</v>
      </c>
      <c r="C60" s="26"/>
      <c r="D60" s="26"/>
      <c r="E60" s="26"/>
      <c r="F60" s="26"/>
      <c r="G60" s="1035"/>
      <c r="H60" s="1035"/>
      <c r="I60" s="1035"/>
      <c r="J60" s="1035"/>
      <c r="K60" s="1035"/>
      <c r="L60" s="1035"/>
      <c r="M60" s="1035"/>
      <c r="N60" s="562"/>
    </row>
    <row r="61" spans="2:14" outlineLevel="1" x14ac:dyDescent="0.15">
      <c r="B61" s="247" t="s">
        <v>1587</v>
      </c>
      <c r="C61" s="26"/>
      <c r="D61" s="26"/>
      <c r="E61" s="26"/>
      <c r="F61" s="26"/>
      <c r="G61" s="1035">
        <f ca="1">Lists!$D$154*'Manufacturing Costs'!G621</f>
        <v>0</v>
      </c>
      <c r="H61" s="1035">
        <f ca="1">Lists!$D$154*'Manufacturing Costs'!H621</f>
        <v>0</v>
      </c>
      <c r="I61" s="1035">
        <f ca="1">Lists!$D$154*'Manufacturing Costs'!I621</f>
        <v>0</v>
      </c>
      <c r="J61" s="1035">
        <f ca="1">Lists!$D$154*'Manufacturing Costs'!J621</f>
        <v>0</v>
      </c>
      <c r="K61" s="1035">
        <f ca="1">Lists!$D$154*'Manufacturing Costs'!K621</f>
        <v>0</v>
      </c>
      <c r="L61" s="1035">
        <f ca="1">Lists!$D$154*'Manufacturing Costs'!L621</f>
        <v>0</v>
      </c>
      <c r="M61" s="1035">
        <f ca="1">Lists!$D$154*'Manufacturing Costs'!M621</f>
        <v>0</v>
      </c>
      <c r="N61" s="562"/>
    </row>
    <row r="62" spans="2:14" outlineLevel="1" x14ac:dyDescent="0.15">
      <c r="B62" s="9" t="s">
        <v>1588</v>
      </c>
      <c r="C62" s="26"/>
      <c r="D62" s="26"/>
      <c r="E62" s="26"/>
      <c r="F62" s="26"/>
      <c r="G62" s="1035">
        <f ca="1">'Manufacturing Costs'!G165</f>
        <v>69.500516693377008</v>
      </c>
      <c r="H62" s="1035">
        <f ca="1">'Manufacturing Costs'!H165</f>
        <v>69.500516693377008</v>
      </c>
      <c r="I62" s="1035">
        <f ca="1">'Manufacturing Costs'!I165</f>
        <v>69.500516693377008</v>
      </c>
      <c r="J62" s="1035">
        <f ca="1">'Manufacturing Costs'!J165</f>
        <v>69.500516693377008</v>
      </c>
      <c r="K62" s="1035">
        <f ca="1">'Manufacturing Costs'!K165</f>
        <v>69.500516693377008</v>
      </c>
      <c r="L62" s="1035">
        <f ca="1">'Manufacturing Costs'!L165</f>
        <v>69.500516693377008</v>
      </c>
      <c r="M62" s="1035">
        <f ca="1">'Manufacturing Costs'!M165</f>
        <v>69.500516693377008</v>
      </c>
      <c r="N62" s="562"/>
    </row>
    <row r="63" spans="2:14" outlineLevel="1" x14ac:dyDescent="0.15">
      <c r="B63" s="8" t="s">
        <v>1146</v>
      </c>
      <c r="C63" s="26"/>
      <c r="D63" s="26"/>
      <c r="E63" s="26"/>
      <c r="F63" s="26"/>
      <c r="G63" s="1035">
        <f>'Manufacturing Costs'!G166</f>
        <v>3.2</v>
      </c>
      <c r="H63" s="1035">
        <f>'Manufacturing Costs'!H166</f>
        <v>3.2</v>
      </c>
      <c r="I63" s="1035">
        <f>'Manufacturing Costs'!I166</f>
        <v>3.2</v>
      </c>
      <c r="J63" s="1035">
        <f>'Manufacturing Costs'!J166</f>
        <v>3.2</v>
      </c>
      <c r="K63" s="1035">
        <f>'Manufacturing Costs'!K166</f>
        <v>3.2</v>
      </c>
      <c r="L63" s="1035">
        <f>'Manufacturing Costs'!L166</f>
        <v>3.2</v>
      </c>
      <c r="M63" s="1035">
        <f>'Manufacturing Costs'!M166</f>
        <v>3.2</v>
      </c>
      <c r="N63" s="562"/>
    </row>
    <row r="64" spans="2:14" outlineLevel="1" x14ac:dyDescent="0.15">
      <c r="B64" s="8" t="s">
        <v>1589</v>
      </c>
      <c r="C64" s="26"/>
      <c r="D64" s="26"/>
      <c r="E64" s="26"/>
      <c r="F64" s="26"/>
      <c r="G64" s="1035">
        <f ca="1">'Manufacturing Costs'!G167</f>
        <v>19.220024430034805</v>
      </c>
      <c r="H64" s="1035">
        <f ca="1">'Manufacturing Costs'!H167</f>
        <v>19.220024430034805</v>
      </c>
      <c r="I64" s="1035">
        <f ca="1">'Manufacturing Costs'!I167</f>
        <v>19.220024430034805</v>
      </c>
      <c r="J64" s="1035">
        <f ca="1">'Manufacturing Costs'!J167</f>
        <v>19.220024430034805</v>
      </c>
      <c r="K64" s="1035">
        <f ca="1">'Manufacturing Costs'!K167</f>
        <v>19.220024430034805</v>
      </c>
      <c r="L64" s="1035">
        <f ca="1">'Manufacturing Costs'!L167</f>
        <v>19.220024430034805</v>
      </c>
      <c r="M64" s="1035">
        <f ca="1">'Manufacturing Costs'!M167</f>
        <v>19.220024430034805</v>
      </c>
      <c r="N64" s="562"/>
    </row>
    <row r="65" spans="2:14" outlineLevel="1" x14ac:dyDescent="0.15">
      <c r="B65" s="8" t="s">
        <v>1148</v>
      </c>
      <c r="C65" s="26"/>
      <c r="D65" s="26"/>
      <c r="E65" s="26"/>
      <c r="F65" s="26"/>
      <c r="G65" s="1035">
        <f ca="1">'Manufacturing Costs'!G168</f>
        <v>9.7804168480172624</v>
      </c>
      <c r="H65" s="1035">
        <f ca="1">'Manufacturing Costs'!H168</f>
        <v>9.7804168480172624</v>
      </c>
      <c r="I65" s="1035">
        <f ca="1">'Manufacturing Costs'!I168</f>
        <v>9.7804168480172624</v>
      </c>
      <c r="J65" s="1035">
        <f ca="1">'Manufacturing Costs'!J168</f>
        <v>9.7804168480172624</v>
      </c>
      <c r="K65" s="1035">
        <f ca="1">'Manufacturing Costs'!K168</f>
        <v>9.7804168480172624</v>
      </c>
      <c r="L65" s="1035">
        <f ca="1">'Manufacturing Costs'!L168</f>
        <v>9.7804168480172624</v>
      </c>
      <c r="M65" s="1035">
        <f ca="1">'Manufacturing Costs'!M168</f>
        <v>9.7804168480172624</v>
      </c>
      <c r="N65" s="562"/>
    </row>
    <row r="66" spans="2:14" outlineLevel="1" x14ac:dyDescent="0.15">
      <c r="B66" s="8" t="s">
        <v>1590</v>
      </c>
      <c r="C66" s="26"/>
      <c r="D66" s="26"/>
      <c r="E66" s="26"/>
      <c r="F66" s="26"/>
      <c r="G66" s="1035">
        <f ca="1">'Manufacturing Costs'!G169</f>
        <v>57.077291501125792</v>
      </c>
      <c r="H66" s="1035">
        <f ca="1">'Manufacturing Costs'!H169</f>
        <v>57.077291501125792</v>
      </c>
      <c r="I66" s="1035">
        <f ca="1">'Manufacturing Costs'!I169</f>
        <v>57.077291501125792</v>
      </c>
      <c r="J66" s="1035">
        <f ca="1">'Manufacturing Costs'!J169</f>
        <v>57.077291501125792</v>
      </c>
      <c r="K66" s="1035">
        <f ca="1">'Manufacturing Costs'!K169</f>
        <v>57.077291501125792</v>
      </c>
      <c r="L66" s="1035">
        <f ca="1">'Manufacturing Costs'!L169</f>
        <v>57.077291501125792</v>
      </c>
      <c r="M66" s="1035">
        <f ca="1">'Manufacturing Costs'!M169</f>
        <v>57.077291501125792</v>
      </c>
      <c r="N66" s="562"/>
    </row>
    <row r="67" spans="2:14" outlineLevel="1" x14ac:dyDescent="0.15">
      <c r="B67" s="8" t="s">
        <v>1150</v>
      </c>
      <c r="C67" s="26"/>
      <c r="D67" s="26"/>
      <c r="E67" s="26"/>
      <c r="F67" s="26"/>
      <c r="G67" s="1035">
        <f ca="1">'Manufacturing Costs'!G170</f>
        <v>9.2378712017290603</v>
      </c>
      <c r="H67" s="1035">
        <f ca="1">'Manufacturing Costs'!H170</f>
        <v>9.2378712017290603</v>
      </c>
      <c r="I67" s="1035">
        <f ca="1">'Manufacturing Costs'!I170</f>
        <v>9.2378712017290603</v>
      </c>
      <c r="J67" s="1035">
        <f ca="1">'Manufacturing Costs'!J170</f>
        <v>9.2378712017290603</v>
      </c>
      <c r="K67" s="1035">
        <f ca="1">'Manufacturing Costs'!K170</f>
        <v>9.2378712017290603</v>
      </c>
      <c r="L67" s="1035">
        <f ca="1">'Manufacturing Costs'!L170</f>
        <v>9.2378712017290603</v>
      </c>
      <c r="M67" s="1035">
        <f ca="1">'Manufacturing Costs'!M170</f>
        <v>9.2378712017290603</v>
      </c>
      <c r="N67" s="562"/>
    </row>
    <row r="68" spans="2:14" outlineLevel="1" x14ac:dyDescent="0.15">
      <c r="B68" s="8" t="s">
        <v>1151</v>
      </c>
      <c r="C68" s="26"/>
      <c r="D68" s="26"/>
      <c r="E68" s="26"/>
      <c r="F68" s="26"/>
      <c r="G68" s="1035">
        <f ca="1">'Manufacturing Costs'!G171</f>
        <v>5.5882180949098181</v>
      </c>
      <c r="H68" s="1035">
        <f ca="1">'Manufacturing Costs'!H171</f>
        <v>5.5882180949098181</v>
      </c>
      <c r="I68" s="1035">
        <f ca="1">'Manufacturing Costs'!I171</f>
        <v>5.5882180949098181</v>
      </c>
      <c r="J68" s="1035">
        <f ca="1">'Manufacturing Costs'!J171</f>
        <v>5.5882180949098181</v>
      </c>
      <c r="K68" s="1035">
        <f ca="1">'Manufacturing Costs'!K171</f>
        <v>5.5882180949098181</v>
      </c>
      <c r="L68" s="1035">
        <f ca="1">'Manufacturing Costs'!L171</f>
        <v>5.5882180949098181</v>
      </c>
      <c r="M68" s="1035">
        <f ca="1">'Manufacturing Costs'!M171</f>
        <v>5.5882180949098181</v>
      </c>
      <c r="N68" s="562"/>
    </row>
    <row r="69" spans="2:14" outlineLevel="1" x14ac:dyDescent="0.15">
      <c r="B69" s="8" t="s">
        <v>1591</v>
      </c>
      <c r="C69" s="26"/>
      <c r="D69" s="26"/>
      <c r="E69" s="26"/>
      <c r="F69" s="26"/>
      <c r="G69" s="1035">
        <f ca="1">'Manufacturing Costs'!G172</f>
        <v>22.815128927302176</v>
      </c>
      <c r="H69" s="1035">
        <f ca="1">'Manufacturing Costs'!H172</f>
        <v>22.815128927302176</v>
      </c>
      <c r="I69" s="1035">
        <f ca="1">'Manufacturing Costs'!I172</f>
        <v>22.815128927302176</v>
      </c>
      <c r="J69" s="1035">
        <f ca="1">'Manufacturing Costs'!J172</f>
        <v>22.815128927302176</v>
      </c>
      <c r="K69" s="1035">
        <f ca="1">'Manufacturing Costs'!K172</f>
        <v>22.815128927302176</v>
      </c>
      <c r="L69" s="1035">
        <f ca="1">'Manufacturing Costs'!L172</f>
        <v>22.815128927302176</v>
      </c>
      <c r="M69" s="1035">
        <f ca="1">'Manufacturing Costs'!M172</f>
        <v>22.815128927302176</v>
      </c>
      <c r="N69" s="562"/>
    </row>
    <row r="70" spans="2:14" outlineLevel="1" x14ac:dyDescent="0.15">
      <c r="B70" s="8" t="s">
        <v>1592</v>
      </c>
      <c r="C70" s="26"/>
      <c r="D70" s="26"/>
      <c r="E70" s="26"/>
      <c r="F70" s="26"/>
      <c r="G70" s="1035">
        <f ca="1">'Manufacturing Costs'!G173</f>
        <v>118.48815311622195</v>
      </c>
      <c r="H70" s="1035">
        <f ca="1">'Manufacturing Costs'!H173</f>
        <v>118.48815311622195</v>
      </c>
      <c r="I70" s="1035">
        <f ca="1">'Manufacturing Costs'!I173</f>
        <v>118.48815311622195</v>
      </c>
      <c r="J70" s="1035">
        <f ca="1">'Manufacturing Costs'!J173</f>
        <v>118.48815311622195</v>
      </c>
      <c r="K70" s="1035">
        <f ca="1">'Manufacturing Costs'!K173</f>
        <v>118.48815311622195</v>
      </c>
      <c r="L70" s="1035">
        <f ca="1">'Manufacturing Costs'!L173</f>
        <v>118.48815311622195</v>
      </c>
      <c r="M70" s="1035">
        <f ca="1">'Manufacturing Costs'!M173</f>
        <v>118.48815311622195</v>
      </c>
      <c r="N70" s="562"/>
    </row>
    <row r="71" spans="2:14" outlineLevel="1" x14ac:dyDescent="0.15">
      <c r="B71" s="8" t="s">
        <v>1155</v>
      </c>
      <c r="C71" s="26"/>
      <c r="D71" s="26"/>
      <c r="E71" s="26"/>
      <c r="F71" s="26"/>
      <c r="G71" s="1035">
        <f ca="1">'Manufacturing Costs'!G175</f>
        <v>18.749923696579245</v>
      </c>
      <c r="H71" s="1035">
        <f ca="1">'Manufacturing Costs'!H175</f>
        <v>18.749923696579245</v>
      </c>
      <c r="I71" s="1035">
        <f ca="1">'Manufacturing Costs'!I175</f>
        <v>18.749923696579245</v>
      </c>
      <c r="J71" s="1035">
        <f ca="1">'Manufacturing Costs'!J175</f>
        <v>18.749923696579245</v>
      </c>
      <c r="K71" s="1035">
        <f ca="1">'Manufacturing Costs'!K175</f>
        <v>18.749923696579245</v>
      </c>
      <c r="L71" s="1035">
        <f ca="1">'Manufacturing Costs'!L175</f>
        <v>18.749923696579245</v>
      </c>
      <c r="M71" s="1035">
        <f ca="1">'Manufacturing Costs'!M175</f>
        <v>18.749923696579245</v>
      </c>
      <c r="N71" s="562"/>
    </row>
    <row r="72" spans="2:14" outlineLevel="1" x14ac:dyDescent="0.15">
      <c r="B72" s="8" t="s">
        <v>1156</v>
      </c>
      <c r="C72" s="26"/>
      <c r="D72" s="26"/>
      <c r="E72" s="26"/>
      <c r="F72" s="26"/>
      <c r="G72" s="1035">
        <f ca="1">'Manufacturing Costs'!G176</f>
        <v>80</v>
      </c>
      <c r="H72" s="1035">
        <f ca="1">'Manufacturing Costs'!H176</f>
        <v>80</v>
      </c>
      <c r="I72" s="1035">
        <f ca="1">'Manufacturing Costs'!I176</f>
        <v>80</v>
      </c>
      <c r="J72" s="1035">
        <f ca="1">'Manufacturing Costs'!J176</f>
        <v>80</v>
      </c>
      <c r="K72" s="1035">
        <f ca="1">'Manufacturing Costs'!K176</f>
        <v>80</v>
      </c>
      <c r="L72" s="1035">
        <f ca="1">'Manufacturing Costs'!L176</f>
        <v>80</v>
      </c>
      <c r="M72" s="1035">
        <f ca="1">'Manufacturing Costs'!M176</f>
        <v>80</v>
      </c>
      <c r="N72" s="562"/>
    </row>
    <row r="73" spans="2:14" outlineLevel="1" x14ac:dyDescent="0.15">
      <c r="B73" s="8" t="s">
        <v>1157</v>
      </c>
      <c r="C73" s="26"/>
      <c r="D73" s="26"/>
      <c r="E73" s="26"/>
      <c r="F73" s="26"/>
      <c r="G73" s="1035">
        <f>'Manufacturing Costs'!G177</f>
        <v>20</v>
      </c>
      <c r="H73" s="1035">
        <f>'Manufacturing Costs'!H177</f>
        <v>20</v>
      </c>
      <c r="I73" s="1035">
        <f>'Manufacturing Costs'!I177</f>
        <v>20</v>
      </c>
      <c r="J73" s="1035">
        <f>'Manufacturing Costs'!J177</f>
        <v>20</v>
      </c>
      <c r="K73" s="1035">
        <f>'Manufacturing Costs'!K177</f>
        <v>20</v>
      </c>
      <c r="L73" s="1035">
        <f>'Manufacturing Costs'!L177</f>
        <v>20</v>
      </c>
      <c r="M73" s="1035">
        <f>'Manufacturing Costs'!M177</f>
        <v>20</v>
      </c>
      <c r="N73" s="562"/>
    </row>
    <row r="74" spans="2:14" outlineLevel="1" x14ac:dyDescent="0.15">
      <c r="B74" s="8" t="s">
        <v>1593</v>
      </c>
      <c r="C74" s="26"/>
      <c r="D74" s="26"/>
      <c r="E74" s="26"/>
      <c r="F74" s="26"/>
      <c r="G74" s="1035">
        <f ca="1">SUM(G61:G73)</f>
        <v>433.65754450929711</v>
      </c>
      <c r="H74" s="1035">
        <f t="shared" ref="H74:M74" ca="1" si="3">SUM(H61:H73)</f>
        <v>433.65754450929711</v>
      </c>
      <c r="I74" s="1035">
        <f t="shared" ca="1" si="3"/>
        <v>433.65754450929711</v>
      </c>
      <c r="J74" s="1035">
        <f t="shared" ca="1" si="3"/>
        <v>433.65754450929711</v>
      </c>
      <c r="K74" s="1035">
        <f t="shared" ca="1" si="3"/>
        <v>433.65754450929711</v>
      </c>
      <c r="L74" s="1035">
        <f t="shared" ca="1" si="3"/>
        <v>433.65754450929711</v>
      </c>
      <c r="M74" s="1035">
        <f t="shared" ca="1" si="3"/>
        <v>433.65754450929711</v>
      </c>
      <c r="N74" s="562"/>
    </row>
    <row r="75" spans="2:14" outlineLevel="1" x14ac:dyDescent="0.15">
      <c r="B75" s="8"/>
      <c r="C75" s="26"/>
      <c r="D75" s="26"/>
      <c r="E75" s="26"/>
      <c r="F75" s="26"/>
      <c r="G75" s="1035"/>
      <c r="H75" s="1035"/>
      <c r="I75" s="1035"/>
      <c r="J75" s="1035"/>
      <c r="K75" s="1035"/>
      <c r="L75" s="1035"/>
      <c r="M75" s="1035"/>
      <c r="N75" s="562"/>
    </row>
    <row r="76" spans="2:14" outlineLevel="1" x14ac:dyDescent="0.15">
      <c r="B76" s="1082" t="s">
        <v>1594</v>
      </c>
      <c r="C76" s="26"/>
      <c r="D76" s="26"/>
      <c r="E76" s="26"/>
      <c r="F76" s="26"/>
      <c r="G76" s="1035"/>
      <c r="H76" s="1035"/>
      <c r="I76" s="1035"/>
      <c r="J76" s="1035"/>
      <c r="K76" s="1035"/>
      <c r="L76" s="1035"/>
      <c r="M76" s="1035"/>
      <c r="N76" s="562"/>
    </row>
    <row r="77" spans="2:14" outlineLevel="1" x14ac:dyDescent="0.15">
      <c r="B77" s="8" t="s">
        <v>1595</v>
      </c>
      <c r="C77" s="26"/>
      <c r="D77" s="26"/>
      <c r="E77" s="26"/>
      <c r="F77" s="26"/>
      <c r="G77" s="1035">
        <f ca="1">G47+G58+G74</f>
        <v>1438.2936439294645</v>
      </c>
      <c r="H77" s="1035">
        <f t="shared" ref="H77:M77" ca="1" si="4">H47+H58+H74</f>
        <v>1438.2936439294645</v>
      </c>
      <c r="I77" s="1035">
        <f t="shared" ca="1" si="4"/>
        <v>1438.2936439294645</v>
      </c>
      <c r="J77" s="1035">
        <f t="shared" ca="1" si="4"/>
        <v>1438.2936439294645</v>
      </c>
      <c r="K77" s="1035">
        <f t="shared" ca="1" si="4"/>
        <v>1438.2936439294645</v>
      </c>
      <c r="L77" s="1035">
        <f t="shared" ca="1" si="4"/>
        <v>1438.2936439294645</v>
      </c>
      <c r="M77" s="1035">
        <f t="shared" ca="1" si="4"/>
        <v>1438.2936439294645</v>
      </c>
      <c r="N77" s="562"/>
    </row>
    <row r="78" spans="2:14" outlineLevel="1" x14ac:dyDescent="0.15">
      <c r="B78" s="8"/>
      <c r="G78" s="1035"/>
      <c r="H78" s="1035"/>
      <c r="I78" s="1035"/>
      <c r="J78" s="1035"/>
      <c r="K78" s="1035"/>
      <c r="L78" s="1035"/>
      <c r="M78" s="1035"/>
    </row>
    <row r="79" spans="2:14" ht="16" outlineLevel="1" x14ac:dyDescent="0.2">
      <c r="B79" s="5" t="s">
        <v>1596</v>
      </c>
      <c r="G79" s="1035"/>
      <c r="H79" s="1035"/>
      <c r="I79" s="1035"/>
      <c r="J79" s="1035"/>
      <c r="K79" s="1035"/>
      <c r="L79" s="1035"/>
      <c r="M79" s="1035"/>
    </row>
    <row r="80" spans="2:14" outlineLevel="1" x14ac:dyDescent="0.15">
      <c r="B80" s="8" t="s">
        <v>1597</v>
      </c>
      <c r="C80" s="95"/>
      <c r="D80" s="8"/>
      <c r="E80" s="8"/>
      <c r="F80" s="375"/>
      <c r="G80" s="854">
        <f ca="1">'Cost Breakdown'!G49</f>
        <v>182.14114727876125</v>
      </c>
      <c r="H80" s="854">
        <f ca="1">'Cost Breakdown'!H49</f>
        <v>182.14114727876125</v>
      </c>
      <c r="I80" s="854">
        <f ca="1">'Cost Breakdown'!I49</f>
        <v>182.14114727876125</v>
      </c>
      <c r="J80" s="854">
        <f ca="1">'Cost Breakdown'!J49</f>
        <v>182.14114727876125</v>
      </c>
      <c r="K80" s="854">
        <f ca="1">'Cost Breakdown'!K49</f>
        <v>182.14114727876125</v>
      </c>
      <c r="L80" s="854">
        <f ca="1">'Cost Breakdown'!L49</f>
        <v>182.14114727876125</v>
      </c>
      <c r="M80" s="854">
        <f ca="1">'Cost Breakdown'!M49</f>
        <v>182.14114727876125</v>
      </c>
      <c r="N80" s="8"/>
    </row>
    <row r="81" spans="2:14" outlineLevel="1" x14ac:dyDescent="0.15">
      <c r="B81" s="8" t="s">
        <v>1598</v>
      </c>
      <c r="C81" s="95"/>
      <c r="D81" s="8"/>
      <c r="E81" s="8"/>
      <c r="F81" s="375"/>
      <c r="G81" s="854">
        <f ca="1">'Cost Breakdown'!G50</f>
        <v>153.75302778805985</v>
      </c>
      <c r="H81" s="854">
        <f ca="1">'Cost Breakdown'!H50</f>
        <v>153.75302778805985</v>
      </c>
      <c r="I81" s="854">
        <f ca="1">'Cost Breakdown'!I50</f>
        <v>153.75302778805985</v>
      </c>
      <c r="J81" s="854">
        <f ca="1">'Cost Breakdown'!J50</f>
        <v>153.75302778805985</v>
      </c>
      <c r="K81" s="854">
        <f ca="1">'Cost Breakdown'!K50</f>
        <v>153.75302778805985</v>
      </c>
      <c r="L81" s="854">
        <f ca="1">'Cost Breakdown'!L50</f>
        <v>153.75302778805985</v>
      </c>
      <c r="M81" s="854">
        <f ca="1">'Cost Breakdown'!M50</f>
        <v>153.75302778805985</v>
      </c>
      <c r="N81" s="8"/>
    </row>
    <row r="82" spans="2:14" outlineLevel="1" x14ac:dyDescent="0.15">
      <c r="B82" s="8" t="s">
        <v>1599</v>
      </c>
      <c r="C82" s="95"/>
      <c r="D82" s="8"/>
      <c r="E82" s="8"/>
      <c r="F82" s="375"/>
      <c r="G82" s="854">
        <f ca="1">'Cost Breakdown'!G51</f>
        <v>252.34989933943979</v>
      </c>
      <c r="H82" s="854">
        <f ca="1">'Cost Breakdown'!H51</f>
        <v>252.34989933943979</v>
      </c>
      <c r="I82" s="854">
        <f ca="1">'Cost Breakdown'!I51</f>
        <v>252.34989933943979</v>
      </c>
      <c r="J82" s="854">
        <f ca="1">'Cost Breakdown'!J51</f>
        <v>252.34989933943979</v>
      </c>
      <c r="K82" s="854">
        <f ca="1">'Cost Breakdown'!K51</f>
        <v>252.34989933943979</v>
      </c>
      <c r="L82" s="854">
        <f ca="1">'Cost Breakdown'!L51</f>
        <v>252.34989933943979</v>
      </c>
      <c r="M82" s="854">
        <f ca="1">'Cost Breakdown'!M51</f>
        <v>252.34989933943979</v>
      </c>
      <c r="N82" s="562"/>
    </row>
    <row r="83" spans="2:14" outlineLevel="1" x14ac:dyDescent="0.15">
      <c r="B83" s="8" t="s">
        <v>1600</v>
      </c>
      <c r="C83" s="95"/>
      <c r="D83" s="8"/>
      <c r="E83" s="8"/>
      <c r="F83" s="375"/>
      <c r="G83" s="854">
        <f ca="1">'Cost Breakdown'!G52</f>
        <v>657.77396076647403</v>
      </c>
      <c r="H83" s="854">
        <f ca="1">'Cost Breakdown'!H52</f>
        <v>657.77396076647403</v>
      </c>
      <c r="I83" s="854">
        <f ca="1">'Cost Breakdown'!I52</f>
        <v>657.77396076647403</v>
      </c>
      <c r="J83" s="854">
        <f ca="1">'Cost Breakdown'!J52</f>
        <v>657.77396076647403</v>
      </c>
      <c r="K83" s="854">
        <f ca="1">'Cost Breakdown'!K52</f>
        <v>657.77396076647403</v>
      </c>
      <c r="L83" s="854">
        <f ca="1">'Cost Breakdown'!L52</f>
        <v>657.77396076647403</v>
      </c>
      <c r="M83" s="854">
        <f ca="1">'Cost Breakdown'!M52</f>
        <v>657.77396076647403</v>
      </c>
      <c r="N83" s="562"/>
    </row>
    <row r="84" spans="2:14" outlineLevel="1" x14ac:dyDescent="0.15">
      <c r="B84" s="8" t="s">
        <v>1601</v>
      </c>
      <c r="C84" s="95"/>
      <c r="D84" s="8"/>
      <c r="E84" s="8"/>
      <c r="F84" s="375"/>
      <c r="G84" s="854">
        <f ca="1">'Cost Breakdown'!G53</f>
        <v>175.93280181502601</v>
      </c>
      <c r="H84" s="854">
        <f ca="1">'Cost Breakdown'!H53</f>
        <v>175.93280181502601</v>
      </c>
      <c r="I84" s="854">
        <f ca="1">'Cost Breakdown'!I53</f>
        <v>175.93280181502601</v>
      </c>
      <c r="J84" s="854">
        <f ca="1">'Cost Breakdown'!J53</f>
        <v>175.93280181502601</v>
      </c>
      <c r="K84" s="854">
        <f ca="1">'Cost Breakdown'!K53</f>
        <v>175.93280181502601</v>
      </c>
      <c r="L84" s="854">
        <f ca="1">'Cost Breakdown'!L53</f>
        <v>175.93280181502601</v>
      </c>
      <c r="M84" s="854">
        <f ca="1">'Cost Breakdown'!M53</f>
        <v>175.93280181502601</v>
      </c>
      <c r="N84" s="562"/>
    </row>
    <row r="85" spans="2:14" outlineLevel="1" x14ac:dyDescent="0.15">
      <c r="B85" s="8" t="s">
        <v>1602</v>
      </c>
      <c r="C85" s="95"/>
      <c r="D85" s="8"/>
      <c r="E85" s="8"/>
      <c r="F85" s="375"/>
      <c r="G85" s="854">
        <f ca="1">'Cost Breakdown'!G54</f>
        <v>230.22088626826596</v>
      </c>
      <c r="H85" s="854">
        <f ca="1">'Cost Breakdown'!H54</f>
        <v>230.22088626826596</v>
      </c>
      <c r="I85" s="854">
        <f ca="1">'Cost Breakdown'!I54</f>
        <v>230.22088626826596</v>
      </c>
      <c r="J85" s="854">
        <f ca="1">'Cost Breakdown'!J54</f>
        <v>230.22088626826596</v>
      </c>
      <c r="K85" s="854">
        <f ca="1">'Cost Breakdown'!K54</f>
        <v>230.22088626826596</v>
      </c>
      <c r="L85" s="854">
        <f ca="1">'Cost Breakdown'!L54</f>
        <v>230.22088626826596</v>
      </c>
      <c r="M85" s="854">
        <f ca="1">'Cost Breakdown'!M54</f>
        <v>230.22088626826596</v>
      </c>
      <c r="N85" s="562"/>
    </row>
    <row r="86" spans="2:14" outlineLevel="1" x14ac:dyDescent="0.15">
      <c r="B86" s="8" t="s">
        <v>1603</v>
      </c>
      <c r="C86" s="95"/>
      <c r="D86" s="8"/>
      <c r="E86" s="8"/>
      <c r="F86" s="375"/>
      <c r="G86" s="854">
        <f ca="1">'Cost Breakdown'!G55</f>
        <v>82.49728527944697</v>
      </c>
      <c r="H86" s="854">
        <f ca="1">'Cost Breakdown'!H55</f>
        <v>82.49728527944697</v>
      </c>
      <c r="I86" s="854">
        <f ca="1">'Cost Breakdown'!I55</f>
        <v>82.49728527944697</v>
      </c>
      <c r="J86" s="854">
        <f ca="1">'Cost Breakdown'!J55</f>
        <v>82.49728527944697</v>
      </c>
      <c r="K86" s="854">
        <f ca="1">'Cost Breakdown'!K55</f>
        <v>82.49728527944697</v>
      </c>
      <c r="L86" s="854">
        <f ca="1">'Cost Breakdown'!L55</f>
        <v>82.49728527944697</v>
      </c>
      <c r="M86" s="854">
        <f ca="1">'Cost Breakdown'!M55</f>
        <v>82.49728527944697</v>
      </c>
      <c r="N86" s="562"/>
    </row>
    <row r="87" spans="2:14" outlineLevel="1" x14ac:dyDescent="0.15">
      <c r="B87" s="8" t="s">
        <v>1604</v>
      </c>
      <c r="C87" s="95"/>
      <c r="D87" s="8"/>
      <c r="E87" s="8"/>
      <c r="F87" s="375"/>
      <c r="G87" s="854">
        <f t="shared" ref="G87:L87" ca="1" si="5">SUM(G80:G86)</f>
        <v>1734.6690085354739</v>
      </c>
      <c r="H87" s="854">
        <f t="shared" ca="1" si="5"/>
        <v>1734.6690085354739</v>
      </c>
      <c r="I87" s="854">
        <f t="shared" ca="1" si="5"/>
        <v>1734.6690085354739</v>
      </c>
      <c r="J87" s="854">
        <f t="shared" ca="1" si="5"/>
        <v>1734.6690085354739</v>
      </c>
      <c r="K87" s="854">
        <f t="shared" ca="1" si="5"/>
        <v>1734.6690085354739</v>
      </c>
      <c r="L87" s="854">
        <f t="shared" ca="1" si="5"/>
        <v>1734.6690085354739</v>
      </c>
      <c r="M87" s="854">
        <f ca="1">SUM(M80:M86)</f>
        <v>1734.6690085354739</v>
      </c>
      <c r="N87" s="562"/>
    </row>
    <row r="88" spans="2:14" outlineLevel="1" x14ac:dyDescent="0.15">
      <c r="B88" s="8"/>
      <c r="C88" s="95"/>
      <c r="D88" s="8"/>
      <c r="E88" s="8"/>
      <c r="F88" s="375"/>
      <c r="G88" s="854"/>
      <c r="H88" s="854"/>
      <c r="I88" s="854"/>
      <c r="J88" s="854"/>
      <c r="K88" s="854"/>
      <c r="L88" s="854"/>
      <c r="M88" s="854"/>
      <c r="N88" s="562"/>
    </row>
    <row r="89" spans="2:14" ht="16" outlineLevel="1" x14ac:dyDescent="0.2">
      <c r="B89" s="5" t="s">
        <v>1605</v>
      </c>
      <c r="C89" s="95"/>
      <c r="D89" s="8"/>
      <c r="E89" s="8"/>
      <c r="F89" s="375"/>
      <c r="G89" s="854"/>
      <c r="H89" s="854"/>
      <c r="I89" s="854"/>
      <c r="J89" s="854"/>
      <c r="K89" s="854"/>
      <c r="L89" s="854"/>
      <c r="M89" s="854"/>
      <c r="N89" s="562"/>
    </row>
    <row r="90" spans="2:14" outlineLevel="1" x14ac:dyDescent="0.15">
      <c r="B90" s="8" t="s">
        <v>1606</v>
      </c>
      <c r="G90" s="1035">
        <f ca="1">'Manufacturing Costs'!G179</f>
        <v>354.3728995446063</v>
      </c>
      <c r="H90" s="1035">
        <f ca="1">'Manufacturing Costs'!H179</f>
        <v>354.3728995446063</v>
      </c>
      <c r="I90" s="1035">
        <f ca="1">'Manufacturing Costs'!I179</f>
        <v>354.3728995446063</v>
      </c>
      <c r="J90" s="1035">
        <f ca="1">'Manufacturing Costs'!J179</f>
        <v>354.3728995446063</v>
      </c>
      <c r="K90" s="1035">
        <f ca="1">'Manufacturing Costs'!K179</f>
        <v>354.3728995446063</v>
      </c>
      <c r="L90" s="1035">
        <f ca="1">'Manufacturing Costs'!L179</f>
        <v>354.3728995446063</v>
      </c>
      <c r="M90" s="1035">
        <f ca="1">'Manufacturing Costs'!M179</f>
        <v>354.3728995446063</v>
      </c>
    </row>
    <row r="91" spans="2:14" outlineLevel="1" x14ac:dyDescent="0.15">
      <c r="B91" s="8" t="s">
        <v>1607</v>
      </c>
      <c r="C91" s="95"/>
      <c r="D91" s="8"/>
      <c r="E91" s="8"/>
      <c r="F91" s="375"/>
      <c r="G91" s="1038">
        <f ca="1">'Manufacturing Costs'!G637</f>
        <v>549.98190186297984</v>
      </c>
      <c r="H91" s="1038">
        <f ca="1">'Manufacturing Costs'!H637</f>
        <v>549.98190186297984</v>
      </c>
      <c r="I91" s="1038">
        <f ca="1">'Manufacturing Costs'!I637</f>
        <v>549.98190186297984</v>
      </c>
      <c r="J91" s="1038">
        <f ca="1">'Manufacturing Costs'!J637</f>
        <v>549.98190186297984</v>
      </c>
      <c r="K91" s="1038">
        <f ca="1">'Manufacturing Costs'!K637</f>
        <v>549.98190186297984</v>
      </c>
      <c r="L91" s="1038">
        <f ca="1">'Manufacturing Costs'!L637</f>
        <v>549.98190186297984</v>
      </c>
      <c r="M91" s="1038">
        <f ca="1">'Manufacturing Costs'!M637</f>
        <v>549.98190186297984</v>
      </c>
      <c r="N91" s="562"/>
    </row>
    <row r="92" spans="2:14" outlineLevel="1" x14ac:dyDescent="0.15">
      <c r="B92" s="8" t="s">
        <v>1608</v>
      </c>
      <c r="C92" s="95"/>
      <c r="D92" s="8"/>
      <c r="E92" s="8"/>
      <c r="F92" s="375"/>
      <c r="G92" s="1038">
        <f ca="1">'Manufacturing Costs'!G638</f>
        <v>653.75385021510226</v>
      </c>
      <c r="H92" s="1038">
        <f ca="1">'Manufacturing Costs'!H638</f>
        <v>653.75385021510226</v>
      </c>
      <c r="I92" s="1038">
        <f ca="1">'Manufacturing Costs'!I638</f>
        <v>653.75385021510226</v>
      </c>
      <c r="J92" s="1038">
        <f ca="1">'Manufacturing Costs'!J638</f>
        <v>653.75385021510226</v>
      </c>
      <c r="K92" s="1038">
        <f ca="1">'Manufacturing Costs'!K638</f>
        <v>653.75385021510226</v>
      </c>
      <c r="L92" s="1038">
        <f ca="1">'Manufacturing Costs'!L638</f>
        <v>653.75385021510226</v>
      </c>
      <c r="M92" s="1038">
        <f ca="1">'Manufacturing Costs'!M638</f>
        <v>653.75385021510226</v>
      </c>
    </row>
    <row r="93" spans="2:14" outlineLevel="1" x14ac:dyDescent="0.15">
      <c r="B93" s="8"/>
      <c r="G93" s="1035"/>
      <c r="H93" s="1035"/>
      <c r="I93" s="1035"/>
      <c r="J93" s="1035"/>
      <c r="K93" s="1035"/>
      <c r="L93" s="1035"/>
      <c r="M93" s="1035"/>
    </row>
    <row r="94" spans="2:14" ht="16" outlineLevel="1" x14ac:dyDescent="0.2">
      <c r="B94" s="5" t="s">
        <v>1003</v>
      </c>
      <c r="G94" s="1035"/>
      <c r="H94" s="1035"/>
      <c r="I94" s="1035"/>
      <c r="J94" s="1035"/>
      <c r="K94" s="1035"/>
      <c r="L94" s="1035"/>
      <c r="M94" s="1035"/>
    </row>
    <row r="95" spans="2:14" outlineLevel="1" x14ac:dyDescent="0.15">
      <c r="B95" s="8" t="s">
        <v>1572</v>
      </c>
      <c r="G95" s="1035">
        <f ca="1">G40</f>
        <v>7563.718956439493</v>
      </c>
      <c r="H95" s="1035">
        <f t="shared" ref="H95:M95" ca="1" si="6">H40</f>
        <v>7563.718956439493</v>
      </c>
      <c r="I95" s="1035">
        <f t="shared" ca="1" si="6"/>
        <v>7563.718956439493</v>
      </c>
      <c r="J95" s="1035">
        <f t="shared" ca="1" si="6"/>
        <v>7563.718956439493</v>
      </c>
      <c r="K95" s="1035">
        <f t="shared" ca="1" si="6"/>
        <v>7563.718956439493</v>
      </c>
      <c r="L95" s="1035">
        <f t="shared" ca="1" si="6"/>
        <v>7563.718956439493</v>
      </c>
      <c r="M95" s="1035">
        <f t="shared" ca="1" si="6"/>
        <v>7563.718956439493</v>
      </c>
    </row>
    <row r="96" spans="2:14" outlineLevel="1" x14ac:dyDescent="0.15">
      <c r="B96" s="8" t="s">
        <v>1595</v>
      </c>
      <c r="G96" s="1035">
        <f ca="1">G77</f>
        <v>1438.2936439294645</v>
      </c>
      <c r="H96" s="1035">
        <f t="shared" ref="H96:M96" ca="1" si="7">H77</f>
        <v>1438.2936439294645</v>
      </c>
      <c r="I96" s="1035">
        <f t="shared" ca="1" si="7"/>
        <v>1438.2936439294645</v>
      </c>
      <c r="J96" s="1035">
        <f t="shared" ca="1" si="7"/>
        <v>1438.2936439294645</v>
      </c>
      <c r="K96" s="1035">
        <f t="shared" ca="1" si="7"/>
        <v>1438.2936439294645</v>
      </c>
      <c r="L96" s="1035">
        <f t="shared" ca="1" si="7"/>
        <v>1438.2936439294645</v>
      </c>
      <c r="M96" s="1035">
        <f t="shared" ca="1" si="7"/>
        <v>1438.2936439294645</v>
      </c>
    </row>
    <row r="97" spans="2:15" outlineLevel="1" x14ac:dyDescent="0.15">
      <c r="B97" s="8" t="s">
        <v>1604</v>
      </c>
      <c r="G97" s="1035">
        <f ca="1">G87</f>
        <v>1734.6690085354739</v>
      </c>
      <c r="H97" s="1035">
        <f t="shared" ref="H97:M97" ca="1" si="8">H87</f>
        <v>1734.6690085354739</v>
      </c>
      <c r="I97" s="1035">
        <f t="shared" ca="1" si="8"/>
        <v>1734.6690085354739</v>
      </c>
      <c r="J97" s="1035">
        <f t="shared" ca="1" si="8"/>
        <v>1734.6690085354739</v>
      </c>
      <c r="K97" s="1035">
        <f t="shared" ca="1" si="8"/>
        <v>1734.6690085354739</v>
      </c>
      <c r="L97" s="1035">
        <f t="shared" ca="1" si="8"/>
        <v>1734.6690085354739</v>
      </c>
      <c r="M97" s="1035">
        <f t="shared" ca="1" si="8"/>
        <v>1734.6690085354739</v>
      </c>
    </row>
    <row r="98" spans="2:15" outlineLevel="1" x14ac:dyDescent="0.15">
      <c r="B98" s="8" t="s">
        <v>1609</v>
      </c>
      <c r="G98" s="1035">
        <f ca="1">G90</f>
        <v>354.3728995446063</v>
      </c>
      <c r="H98" s="1035">
        <f t="shared" ref="H98:M98" ca="1" si="9">H90</f>
        <v>354.3728995446063</v>
      </c>
      <c r="I98" s="1035">
        <f t="shared" ca="1" si="9"/>
        <v>354.3728995446063</v>
      </c>
      <c r="J98" s="1035">
        <f t="shared" ca="1" si="9"/>
        <v>354.3728995446063</v>
      </c>
      <c r="K98" s="1035">
        <f t="shared" ca="1" si="9"/>
        <v>354.3728995446063</v>
      </c>
      <c r="L98" s="1035">
        <f t="shared" ca="1" si="9"/>
        <v>354.3728995446063</v>
      </c>
      <c r="M98" s="1035">
        <f t="shared" ca="1" si="9"/>
        <v>354.3728995446063</v>
      </c>
    </row>
    <row r="99" spans="2:15" outlineLevel="1" x14ac:dyDescent="0.15">
      <c r="B99" s="8" t="s">
        <v>1610</v>
      </c>
      <c r="G99" s="1035">
        <f ca="1">SUM(G91:G92)</f>
        <v>1203.735752078082</v>
      </c>
      <c r="H99" s="1035">
        <f t="shared" ref="H99:M99" ca="1" si="10">SUM(H91:H92)</f>
        <v>1203.735752078082</v>
      </c>
      <c r="I99" s="1035">
        <f t="shared" ca="1" si="10"/>
        <v>1203.735752078082</v>
      </c>
      <c r="J99" s="1035">
        <f t="shared" ca="1" si="10"/>
        <v>1203.735752078082</v>
      </c>
      <c r="K99" s="1035">
        <f t="shared" ca="1" si="10"/>
        <v>1203.735752078082</v>
      </c>
      <c r="L99" s="1035">
        <f t="shared" ca="1" si="10"/>
        <v>1203.735752078082</v>
      </c>
      <c r="M99" s="1035">
        <f t="shared" ca="1" si="10"/>
        <v>1203.735752078082</v>
      </c>
    </row>
    <row r="100" spans="2:15" outlineLevel="1" x14ac:dyDescent="0.15">
      <c r="B100" s="8" t="s">
        <v>1611</v>
      </c>
      <c r="G100" s="1035">
        <f ca="1">SUM(G95:G99)</f>
        <v>12294.790260527123</v>
      </c>
      <c r="H100" s="1035">
        <f t="shared" ref="H100:M100" ca="1" si="11">SUM(H95:H99)</f>
        <v>12294.790260527123</v>
      </c>
      <c r="I100" s="1035">
        <f t="shared" ca="1" si="11"/>
        <v>12294.790260527123</v>
      </c>
      <c r="J100" s="1035">
        <f t="shared" ca="1" si="11"/>
        <v>12294.790260527123</v>
      </c>
      <c r="K100" s="1035">
        <f t="shared" ca="1" si="11"/>
        <v>12294.790260527123</v>
      </c>
      <c r="L100" s="1035">
        <f t="shared" ca="1" si="11"/>
        <v>12294.790260527123</v>
      </c>
      <c r="M100" s="1035">
        <f t="shared" ca="1" si="11"/>
        <v>12294.790260527123</v>
      </c>
    </row>
    <row r="101" spans="2:15" x14ac:dyDescent="0.15">
      <c r="B101" s="8"/>
      <c r="G101" s="1158"/>
      <c r="H101" s="1158"/>
      <c r="I101" s="1158"/>
      <c r="J101" s="1158"/>
      <c r="K101" s="1158"/>
      <c r="L101" s="1158"/>
      <c r="M101" s="1158"/>
    </row>
    <row r="102" spans="2:15" ht="14" thickBot="1" x14ac:dyDescent="0.2">
      <c r="C102" s="26"/>
      <c r="D102" s="26"/>
      <c r="E102" s="26"/>
      <c r="F102" s="26"/>
      <c r="G102" s="3"/>
      <c r="H102" s="3"/>
      <c r="I102" s="3"/>
      <c r="J102" s="3"/>
      <c r="K102" s="3"/>
      <c r="L102" s="3"/>
      <c r="M102" s="3"/>
    </row>
    <row r="103" spans="2:15" ht="21" thickBot="1" x14ac:dyDescent="0.25">
      <c r="B103" s="1262" t="s">
        <v>1612</v>
      </c>
      <c r="C103" s="1263"/>
      <c r="D103" s="1263"/>
      <c r="E103" s="1263"/>
      <c r="F103" s="1263"/>
      <c r="G103" s="1263"/>
      <c r="H103" s="1263"/>
      <c r="I103" s="1263"/>
      <c r="J103" s="1263"/>
      <c r="K103" s="1263"/>
      <c r="L103" s="1263"/>
      <c r="M103" s="1264"/>
    </row>
    <row r="104" spans="2:15" x14ac:dyDescent="0.15">
      <c r="C104" s="26"/>
      <c r="D104" s="26"/>
      <c r="E104" s="26"/>
      <c r="F104" s="26"/>
      <c r="G104" s="3"/>
      <c r="H104" s="3"/>
      <c r="I104" s="3"/>
      <c r="J104" s="3"/>
      <c r="K104" s="3"/>
      <c r="L104" s="3"/>
      <c r="M104" s="3"/>
    </row>
    <row r="105" spans="2:15" ht="16" outlineLevel="1" x14ac:dyDescent="0.2">
      <c r="B105" s="5" t="s">
        <v>1561</v>
      </c>
      <c r="C105" s="26"/>
      <c r="D105" s="26"/>
      <c r="E105" s="26"/>
      <c r="F105" s="26"/>
      <c r="G105" s="3"/>
      <c r="H105" s="3"/>
      <c r="I105" s="3"/>
      <c r="J105" s="3"/>
      <c r="K105" s="3"/>
      <c r="L105" s="3"/>
      <c r="M105" s="3"/>
    </row>
    <row r="106" spans="2:15" ht="14" outlineLevel="1" x14ac:dyDescent="0.15">
      <c r="B106" s="507" t="s">
        <v>1540</v>
      </c>
      <c r="C106" s="26"/>
      <c r="D106" s="26"/>
      <c r="E106" s="26"/>
      <c r="F106" s="26"/>
      <c r="G106" s="3"/>
      <c r="H106" s="3"/>
      <c r="I106" s="3"/>
      <c r="J106" s="3"/>
      <c r="K106" s="3"/>
      <c r="L106" s="3"/>
      <c r="M106" s="3"/>
    </row>
    <row r="107" spans="2:15" outlineLevel="1" x14ac:dyDescent="0.15">
      <c r="B107" s="8" t="s">
        <v>1613</v>
      </c>
      <c r="C107" s="26"/>
      <c r="D107" s="26"/>
      <c r="E107" s="26"/>
      <c r="F107" s="26"/>
      <c r="G107" s="1080">
        <f ca="1">G30/G$100</f>
        <v>0.40967291684836676</v>
      </c>
      <c r="H107" s="1080">
        <f t="shared" ref="H107:M107" ca="1" si="12">H30/H$100</f>
        <v>0.40967291684836676</v>
      </c>
      <c r="I107" s="1080">
        <f t="shared" ca="1" si="12"/>
        <v>0.40967291684836676</v>
      </c>
      <c r="J107" s="1080">
        <f t="shared" ca="1" si="12"/>
        <v>0.40967291684836676</v>
      </c>
      <c r="K107" s="1080">
        <f t="shared" ca="1" si="12"/>
        <v>0.40967291684836676</v>
      </c>
      <c r="L107" s="1080">
        <f t="shared" ca="1" si="12"/>
        <v>0.40967291684836676</v>
      </c>
      <c r="M107" s="1080">
        <f t="shared" ca="1" si="12"/>
        <v>0.40967291684836676</v>
      </c>
      <c r="O107" s="47"/>
    </row>
    <row r="108" spans="2:15" outlineLevel="1" x14ac:dyDescent="0.15">
      <c r="B108" s="8" t="s">
        <v>1614</v>
      </c>
      <c r="C108" s="26"/>
      <c r="D108" s="26"/>
      <c r="E108" s="26"/>
      <c r="F108" s="26"/>
      <c r="G108" s="1080">
        <f t="shared" ref="G108:M108" ca="1" si="13">G31/G$100</f>
        <v>7.0331917813688596E-2</v>
      </c>
      <c r="H108" s="1080">
        <f t="shared" ca="1" si="13"/>
        <v>7.0331917813688596E-2</v>
      </c>
      <c r="I108" s="1080">
        <f t="shared" ca="1" si="13"/>
        <v>7.0331917813688596E-2</v>
      </c>
      <c r="J108" s="1080">
        <f t="shared" ca="1" si="13"/>
        <v>7.0331917813688596E-2</v>
      </c>
      <c r="K108" s="1080">
        <f t="shared" ca="1" si="13"/>
        <v>7.0331917813688596E-2</v>
      </c>
      <c r="L108" s="1080">
        <f t="shared" ca="1" si="13"/>
        <v>7.0331917813688596E-2</v>
      </c>
      <c r="M108" s="1080">
        <f t="shared" ca="1" si="13"/>
        <v>7.0331917813688596E-2</v>
      </c>
    </row>
    <row r="109" spans="2:15" outlineLevel="1" x14ac:dyDescent="0.15">
      <c r="B109" s="8" t="s">
        <v>1615</v>
      </c>
      <c r="C109" s="26"/>
      <c r="D109" s="26"/>
      <c r="E109" s="26"/>
      <c r="F109" s="26"/>
      <c r="G109" s="1080">
        <f t="shared" ref="G109:M109" ca="1" si="14">G32/G$100</f>
        <v>5.076096607188261E-3</v>
      </c>
      <c r="H109" s="1080">
        <f t="shared" ca="1" si="14"/>
        <v>5.076096607188261E-3</v>
      </c>
      <c r="I109" s="1080">
        <f t="shared" ca="1" si="14"/>
        <v>5.076096607188261E-3</v>
      </c>
      <c r="J109" s="1080">
        <f t="shared" ca="1" si="14"/>
        <v>5.076096607188261E-3</v>
      </c>
      <c r="K109" s="1080">
        <f t="shared" ca="1" si="14"/>
        <v>5.076096607188261E-3</v>
      </c>
      <c r="L109" s="1080">
        <f t="shared" ca="1" si="14"/>
        <v>5.076096607188261E-3</v>
      </c>
      <c r="M109" s="1080">
        <f t="shared" ca="1" si="14"/>
        <v>5.076096607188261E-3</v>
      </c>
    </row>
    <row r="110" spans="2:15" outlineLevel="1" x14ac:dyDescent="0.15">
      <c r="B110" s="8" t="s">
        <v>1616</v>
      </c>
      <c r="C110" s="26"/>
      <c r="D110" s="26"/>
      <c r="E110" s="26"/>
      <c r="F110" s="26"/>
      <c r="G110" s="1080">
        <f t="shared" ref="G110:M110" ca="1" si="15">G33/G$100</f>
        <v>5.8456883495470553E-3</v>
      </c>
      <c r="H110" s="1080">
        <f t="shared" ca="1" si="15"/>
        <v>5.8456883495470553E-3</v>
      </c>
      <c r="I110" s="1080">
        <f t="shared" ca="1" si="15"/>
        <v>5.8456883495470553E-3</v>
      </c>
      <c r="J110" s="1080">
        <f t="shared" ca="1" si="15"/>
        <v>5.8456883495470553E-3</v>
      </c>
      <c r="K110" s="1080">
        <f t="shared" ca="1" si="15"/>
        <v>5.8456883495470553E-3</v>
      </c>
      <c r="L110" s="1080">
        <f t="shared" ca="1" si="15"/>
        <v>5.8456883495470553E-3</v>
      </c>
      <c r="M110" s="1080">
        <f t="shared" ca="1" si="15"/>
        <v>5.8456883495470553E-3</v>
      </c>
    </row>
    <row r="111" spans="2:15" outlineLevel="1" x14ac:dyDescent="0.15">
      <c r="B111" s="8" t="s">
        <v>1617</v>
      </c>
      <c r="C111" s="26"/>
      <c r="D111" s="26"/>
      <c r="E111" s="26"/>
      <c r="F111" s="26"/>
      <c r="G111" s="1080">
        <f t="shared" ref="G111:M111" ca="1" si="16">G34/G$100</f>
        <v>1.214678792577998E-2</v>
      </c>
      <c r="H111" s="1080">
        <f t="shared" ca="1" si="16"/>
        <v>1.214678792577998E-2</v>
      </c>
      <c r="I111" s="1080">
        <f t="shared" ca="1" si="16"/>
        <v>1.214678792577998E-2</v>
      </c>
      <c r="J111" s="1080">
        <f t="shared" ca="1" si="16"/>
        <v>1.214678792577998E-2</v>
      </c>
      <c r="K111" s="1080">
        <f t="shared" ca="1" si="16"/>
        <v>1.214678792577998E-2</v>
      </c>
      <c r="L111" s="1080">
        <f t="shared" ca="1" si="16"/>
        <v>1.214678792577998E-2</v>
      </c>
      <c r="M111" s="1080">
        <f t="shared" ca="1" si="16"/>
        <v>1.214678792577998E-2</v>
      </c>
    </row>
    <row r="112" spans="2:15" outlineLevel="1" x14ac:dyDescent="0.15">
      <c r="B112" s="8" t="s">
        <v>1618</v>
      </c>
      <c r="C112" s="26"/>
      <c r="D112" s="26"/>
      <c r="E112" s="26"/>
      <c r="F112" s="26"/>
      <c r="G112" s="1080">
        <f t="shared" ref="G112:M112" ca="1" si="17">G35/G$100</f>
        <v>5.0025518200706894E-3</v>
      </c>
      <c r="H112" s="1080">
        <f t="shared" ca="1" si="17"/>
        <v>5.0025518200706894E-3</v>
      </c>
      <c r="I112" s="1080">
        <f t="shared" ca="1" si="17"/>
        <v>5.0025518200706894E-3</v>
      </c>
      <c r="J112" s="1080">
        <f t="shared" ca="1" si="17"/>
        <v>5.0025518200706894E-3</v>
      </c>
      <c r="K112" s="1080">
        <f t="shared" ca="1" si="17"/>
        <v>5.0025518200706894E-3</v>
      </c>
      <c r="L112" s="1080">
        <f t="shared" ca="1" si="17"/>
        <v>5.0025518200706894E-3</v>
      </c>
      <c r="M112" s="1080">
        <f t="shared" ca="1" si="17"/>
        <v>5.0025518200706894E-3</v>
      </c>
    </row>
    <row r="113" spans="2:14" outlineLevel="1" x14ac:dyDescent="0.15">
      <c r="B113" s="8" t="s">
        <v>1619</v>
      </c>
      <c r="C113" s="26"/>
      <c r="D113" s="26"/>
      <c r="E113" s="26"/>
      <c r="F113" s="26"/>
      <c r="G113" s="1080">
        <f t="shared" ref="G113:M113" ca="1" si="18">G36/G$100</f>
        <v>3.1842120496509474E-2</v>
      </c>
      <c r="H113" s="1080">
        <f t="shared" ca="1" si="18"/>
        <v>3.1842120496509474E-2</v>
      </c>
      <c r="I113" s="1080">
        <f t="shared" ca="1" si="18"/>
        <v>3.1842120496509474E-2</v>
      </c>
      <c r="J113" s="1080">
        <f t="shared" ca="1" si="18"/>
        <v>3.1842120496509474E-2</v>
      </c>
      <c r="K113" s="1080">
        <f t="shared" ca="1" si="18"/>
        <v>3.1842120496509474E-2</v>
      </c>
      <c r="L113" s="1080">
        <f t="shared" ca="1" si="18"/>
        <v>3.1842120496509474E-2</v>
      </c>
      <c r="M113" s="1080">
        <f t="shared" ca="1" si="18"/>
        <v>3.1842120496509474E-2</v>
      </c>
    </row>
    <row r="114" spans="2:14" outlineLevel="1" x14ac:dyDescent="0.15">
      <c r="B114" s="8" t="s">
        <v>1620</v>
      </c>
      <c r="C114" s="26"/>
      <c r="D114" s="26"/>
      <c r="E114" s="26"/>
      <c r="F114" s="26"/>
      <c r="G114" s="1080">
        <f t="shared" ref="G114:M114" ca="1" si="19">G37/G$100</f>
        <v>3.7907879416256625E-2</v>
      </c>
      <c r="H114" s="1080">
        <f t="shared" ca="1" si="19"/>
        <v>3.7907879416256625E-2</v>
      </c>
      <c r="I114" s="1080">
        <f t="shared" ca="1" si="19"/>
        <v>3.7907879416256625E-2</v>
      </c>
      <c r="J114" s="1080">
        <f t="shared" ca="1" si="19"/>
        <v>3.7907879416256625E-2</v>
      </c>
      <c r="K114" s="1080">
        <f t="shared" ca="1" si="19"/>
        <v>3.7907879416256625E-2</v>
      </c>
      <c r="L114" s="1080">
        <f t="shared" ca="1" si="19"/>
        <v>3.7907879416256625E-2</v>
      </c>
      <c r="M114" s="1080">
        <f t="shared" ca="1" si="19"/>
        <v>3.7907879416256625E-2</v>
      </c>
    </row>
    <row r="115" spans="2:14" outlineLevel="1" x14ac:dyDescent="0.15">
      <c r="B115" s="8" t="s">
        <v>1621</v>
      </c>
      <c r="C115" s="26"/>
      <c r="D115" s="26"/>
      <c r="E115" s="26"/>
      <c r="F115" s="26"/>
      <c r="G115" s="1080">
        <f t="shared" ref="G115:M115" ca="1" si="20">G38/G$100</f>
        <v>3.7371111690374041E-2</v>
      </c>
      <c r="H115" s="1080">
        <f t="shared" ca="1" si="20"/>
        <v>3.7371111690374041E-2</v>
      </c>
      <c r="I115" s="1080">
        <f t="shared" ca="1" si="20"/>
        <v>3.7371111690374041E-2</v>
      </c>
      <c r="J115" s="1080">
        <f t="shared" ca="1" si="20"/>
        <v>3.7371111690374041E-2</v>
      </c>
      <c r="K115" s="1080">
        <f t="shared" ca="1" si="20"/>
        <v>3.7371111690374041E-2</v>
      </c>
      <c r="L115" s="1080">
        <f t="shared" ca="1" si="20"/>
        <v>3.7371111690374041E-2</v>
      </c>
      <c r="M115" s="1080">
        <f t="shared" ca="1" si="20"/>
        <v>3.7371111690374041E-2</v>
      </c>
    </row>
    <row r="116" spans="2:14" outlineLevel="1" x14ac:dyDescent="0.15">
      <c r="B116" s="8" t="s">
        <v>1622</v>
      </c>
      <c r="C116" s="26"/>
      <c r="D116" s="26"/>
      <c r="E116" s="26"/>
      <c r="F116" s="26"/>
      <c r="G116" s="1080">
        <f t="shared" ref="G116:M116" ca="1" si="21">G39/G$100</f>
        <v>0</v>
      </c>
      <c r="H116" s="1080">
        <f t="shared" ca="1" si="21"/>
        <v>0</v>
      </c>
      <c r="I116" s="1080">
        <f t="shared" ca="1" si="21"/>
        <v>0</v>
      </c>
      <c r="J116" s="1080">
        <f t="shared" ca="1" si="21"/>
        <v>0</v>
      </c>
      <c r="K116" s="1080">
        <f t="shared" ca="1" si="21"/>
        <v>0</v>
      </c>
      <c r="L116" s="1080">
        <f t="shared" ca="1" si="21"/>
        <v>0</v>
      </c>
      <c r="M116" s="1080">
        <f t="shared" ca="1" si="21"/>
        <v>0</v>
      </c>
    </row>
    <row r="117" spans="2:14" outlineLevel="1" x14ac:dyDescent="0.15">
      <c r="B117" s="8" t="s">
        <v>1623</v>
      </c>
      <c r="C117" s="95"/>
      <c r="D117" s="8"/>
      <c r="E117" s="8"/>
      <c r="F117" s="375"/>
      <c r="G117" s="1080">
        <f t="shared" ref="G117:M117" ca="1" si="22">G40/G$100</f>
        <v>0.61519707096778153</v>
      </c>
      <c r="H117" s="1080">
        <f t="shared" ca="1" si="22"/>
        <v>0.61519707096778153</v>
      </c>
      <c r="I117" s="1080">
        <f t="shared" ca="1" si="22"/>
        <v>0.61519707096778153</v>
      </c>
      <c r="J117" s="1080">
        <f t="shared" ca="1" si="22"/>
        <v>0.61519707096778153</v>
      </c>
      <c r="K117" s="1080">
        <f t="shared" ca="1" si="22"/>
        <v>0.61519707096778153</v>
      </c>
      <c r="L117" s="1080">
        <f t="shared" ca="1" si="22"/>
        <v>0.61519707096778153</v>
      </c>
      <c r="M117" s="1080">
        <f t="shared" ca="1" si="22"/>
        <v>0.61519707096778153</v>
      </c>
      <c r="N117" s="562"/>
    </row>
    <row r="118" spans="2:14" outlineLevel="1" x14ac:dyDescent="0.15">
      <c r="B118" s="8"/>
      <c r="C118" s="95"/>
      <c r="D118" s="8"/>
      <c r="E118" s="8"/>
      <c r="F118" s="375"/>
      <c r="G118" s="1080"/>
      <c r="H118" s="1080"/>
      <c r="I118" s="1080"/>
      <c r="J118" s="1080"/>
      <c r="K118" s="1080"/>
      <c r="L118" s="1080"/>
      <c r="M118" s="1080"/>
      <c r="N118" s="562"/>
    </row>
    <row r="119" spans="2:14" ht="14" outlineLevel="1" x14ac:dyDescent="0.15">
      <c r="B119" s="507" t="s">
        <v>1573</v>
      </c>
      <c r="C119" s="95"/>
      <c r="D119" s="8"/>
      <c r="E119" s="8"/>
      <c r="F119" s="375"/>
      <c r="G119" s="1080"/>
      <c r="H119" s="1080"/>
      <c r="I119" s="1080"/>
      <c r="J119" s="1080"/>
      <c r="K119" s="1080"/>
      <c r="L119" s="1080"/>
      <c r="M119" s="1080"/>
      <c r="N119" s="562"/>
    </row>
    <row r="120" spans="2:14" outlineLevel="1" x14ac:dyDescent="0.15">
      <c r="B120" s="225" t="s">
        <v>1501</v>
      </c>
      <c r="C120" s="26"/>
      <c r="D120" s="8"/>
      <c r="E120" s="8"/>
      <c r="F120" s="375"/>
      <c r="G120" s="1080">
        <f t="shared" ref="G120:M120" ca="1" si="23">G43/G$100</f>
        <v>0</v>
      </c>
      <c r="H120" s="1080">
        <f t="shared" ca="1" si="23"/>
        <v>0</v>
      </c>
      <c r="I120" s="1080">
        <f t="shared" ca="1" si="23"/>
        <v>0</v>
      </c>
      <c r="J120" s="1080">
        <f t="shared" ca="1" si="23"/>
        <v>0</v>
      </c>
      <c r="K120" s="1080">
        <f t="shared" ca="1" si="23"/>
        <v>0</v>
      </c>
      <c r="L120" s="1080">
        <f t="shared" ca="1" si="23"/>
        <v>0</v>
      </c>
      <c r="M120" s="1080">
        <f t="shared" ca="1" si="23"/>
        <v>0</v>
      </c>
      <c r="N120" s="562"/>
    </row>
    <row r="121" spans="2:14" outlineLevel="1" x14ac:dyDescent="0.15">
      <c r="B121" s="8" t="s">
        <v>1624</v>
      </c>
      <c r="C121" s="26"/>
      <c r="D121" s="8"/>
      <c r="E121" s="8"/>
      <c r="F121" s="375"/>
      <c r="G121" s="1080">
        <f t="shared" ref="G121:M121" ca="1" si="24">G44/G$100</f>
        <v>3.2643632048057021E-3</v>
      </c>
      <c r="H121" s="1080">
        <f t="shared" ca="1" si="24"/>
        <v>3.2643632048057021E-3</v>
      </c>
      <c r="I121" s="1080">
        <f t="shared" ca="1" si="24"/>
        <v>3.2643632048057021E-3</v>
      </c>
      <c r="J121" s="1080">
        <f t="shared" ca="1" si="24"/>
        <v>3.2643632048057021E-3</v>
      </c>
      <c r="K121" s="1080">
        <f t="shared" ca="1" si="24"/>
        <v>3.2643632048057021E-3</v>
      </c>
      <c r="L121" s="1080">
        <f t="shared" ca="1" si="24"/>
        <v>3.2643632048057021E-3</v>
      </c>
      <c r="M121" s="1080">
        <f t="shared" ca="1" si="24"/>
        <v>3.2643632048057021E-3</v>
      </c>
      <c r="N121" s="562"/>
    </row>
    <row r="122" spans="2:14" outlineLevel="1" x14ac:dyDescent="0.15">
      <c r="B122" s="8" t="s">
        <v>1625</v>
      </c>
      <c r="C122" s="26"/>
      <c r="D122" s="8"/>
      <c r="E122" s="8"/>
      <c r="F122" s="375"/>
      <c r="G122" s="1080">
        <f t="shared" ref="G122:M122" ca="1" si="25">G45/G$100</f>
        <v>6.9031471391999286E-3</v>
      </c>
      <c r="H122" s="1080">
        <f t="shared" ca="1" si="25"/>
        <v>6.9031471391999286E-3</v>
      </c>
      <c r="I122" s="1080">
        <f t="shared" ca="1" si="25"/>
        <v>6.9031471391999286E-3</v>
      </c>
      <c r="J122" s="1080">
        <f t="shared" ca="1" si="25"/>
        <v>6.9031471391999286E-3</v>
      </c>
      <c r="K122" s="1080">
        <f t="shared" ca="1" si="25"/>
        <v>6.9031471391999286E-3</v>
      </c>
      <c r="L122" s="1080">
        <f t="shared" ca="1" si="25"/>
        <v>6.9031471391999286E-3</v>
      </c>
      <c r="M122" s="1080">
        <f t="shared" ca="1" si="25"/>
        <v>6.9031471391999286E-3</v>
      </c>
      <c r="N122" s="562"/>
    </row>
    <row r="123" spans="2:14" outlineLevel="1" x14ac:dyDescent="0.15">
      <c r="B123" s="8" t="s">
        <v>1626</v>
      </c>
      <c r="C123" s="26"/>
      <c r="D123" s="8"/>
      <c r="E123" s="8"/>
      <c r="F123" s="375"/>
      <c r="G123" s="1080">
        <f t="shared" ref="G123:M123" ca="1" si="26">G46/G$100</f>
        <v>8.8978307393483697E-3</v>
      </c>
      <c r="H123" s="1080">
        <f t="shared" ca="1" si="26"/>
        <v>8.8978307393483697E-3</v>
      </c>
      <c r="I123" s="1080">
        <f t="shared" ca="1" si="26"/>
        <v>8.8978307393483697E-3</v>
      </c>
      <c r="J123" s="1080">
        <f t="shared" ca="1" si="26"/>
        <v>8.8978307393483697E-3</v>
      </c>
      <c r="K123" s="1080">
        <f t="shared" ca="1" si="26"/>
        <v>8.8978307393483697E-3</v>
      </c>
      <c r="L123" s="1080">
        <f t="shared" ca="1" si="26"/>
        <v>8.8978307393483697E-3</v>
      </c>
      <c r="M123" s="1080">
        <f t="shared" ca="1" si="26"/>
        <v>8.8978307393483697E-3</v>
      </c>
      <c r="N123" s="562"/>
    </row>
    <row r="124" spans="2:14" outlineLevel="1" x14ac:dyDescent="0.15">
      <c r="B124" s="8" t="s">
        <v>1627</v>
      </c>
      <c r="C124" s="26"/>
      <c r="D124" s="8"/>
      <c r="E124" s="8"/>
      <c r="F124" s="375"/>
      <c r="G124" s="1080">
        <f t="shared" ref="G124:M124" ca="1" si="27">G47/G$100</f>
        <v>1.9065341083354E-2</v>
      </c>
      <c r="H124" s="1080">
        <f t="shared" ca="1" si="27"/>
        <v>1.9065341083354E-2</v>
      </c>
      <c r="I124" s="1080">
        <f t="shared" ca="1" si="27"/>
        <v>1.9065341083354E-2</v>
      </c>
      <c r="J124" s="1080">
        <f t="shared" ca="1" si="27"/>
        <v>1.9065341083354E-2</v>
      </c>
      <c r="K124" s="1080">
        <f t="shared" ca="1" si="27"/>
        <v>1.9065341083354E-2</v>
      </c>
      <c r="L124" s="1080">
        <f t="shared" ca="1" si="27"/>
        <v>1.9065341083354E-2</v>
      </c>
      <c r="M124" s="1080">
        <f t="shared" ca="1" si="27"/>
        <v>1.9065341083354E-2</v>
      </c>
      <c r="N124" s="562"/>
    </row>
    <row r="125" spans="2:14" outlineLevel="1" x14ac:dyDescent="0.15">
      <c r="B125" s="8"/>
      <c r="C125" s="26"/>
      <c r="D125" s="8"/>
      <c r="E125" s="8"/>
      <c r="F125" s="375"/>
      <c r="G125" s="1080"/>
      <c r="H125" s="1080"/>
      <c r="I125" s="1080"/>
      <c r="J125" s="1080"/>
      <c r="K125" s="1080"/>
      <c r="L125" s="1080"/>
      <c r="M125" s="1080"/>
      <c r="N125" s="562"/>
    </row>
    <row r="126" spans="2:14" outlineLevel="1" x14ac:dyDescent="0.15">
      <c r="B126" s="1082" t="s">
        <v>1502</v>
      </c>
      <c r="C126" s="26"/>
      <c r="D126" s="8"/>
      <c r="E126" s="8"/>
      <c r="F126" s="375"/>
      <c r="G126" s="1080"/>
      <c r="H126" s="1080"/>
      <c r="I126" s="1080"/>
      <c r="J126" s="1080"/>
      <c r="K126" s="1080"/>
      <c r="L126" s="1080"/>
      <c r="M126" s="1080"/>
      <c r="N126" s="562"/>
    </row>
    <row r="127" spans="2:14" outlineLevel="1" x14ac:dyDescent="0.15">
      <c r="B127" s="247" t="s">
        <v>1628</v>
      </c>
      <c r="C127" s="26"/>
      <c r="D127" s="8"/>
      <c r="E127" s="8"/>
      <c r="F127" s="375"/>
      <c r="G127" s="1080">
        <f t="shared" ref="G127:M127" ca="1" si="28">G50/G$100</f>
        <v>0</v>
      </c>
      <c r="H127" s="1080">
        <f t="shared" ca="1" si="28"/>
        <v>0</v>
      </c>
      <c r="I127" s="1080">
        <f t="shared" ca="1" si="28"/>
        <v>0</v>
      </c>
      <c r="J127" s="1080">
        <f t="shared" ca="1" si="28"/>
        <v>0</v>
      </c>
      <c r="K127" s="1080">
        <f t="shared" ca="1" si="28"/>
        <v>0</v>
      </c>
      <c r="L127" s="1080">
        <f t="shared" ca="1" si="28"/>
        <v>0</v>
      </c>
      <c r="M127" s="1080">
        <f t="shared" ca="1" si="28"/>
        <v>0</v>
      </c>
      <c r="N127" s="562"/>
    </row>
    <row r="128" spans="2:14" outlineLevel="1" x14ac:dyDescent="0.15">
      <c r="B128" s="8" t="s">
        <v>1629</v>
      </c>
      <c r="C128" s="26"/>
      <c r="D128" s="8"/>
      <c r="E128" s="8"/>
      <c r="F128" s="375"/>
      <c r="G128" s="1080">
        <f t="shared" ref="G128:M128" ca="1" si="29">G51/G$100</f>
        <v>7.3311229704867776E-3</v>
      </c>
      <c r="H128" s="1080">
        <f t="shared" ca="1" si="29"/>
        <v>7.3311229704867776E-3</v>
      </c>
      <c r="I128" s="1080">
        <f t="shared" ca="1" si="29"/>
        <v>7.3311229704867776E-3</v>
      </c>
      <c r="J128" s="1080">
        <f t="shared" ca="1" si="29"/>
        <v>7.3311229704867776E-3</v>
      </c>
      <c r="K128" s="1080">
        <f t="shared" ca="1" si="29"/>
        <v>7.3311229704867776E-3</v>
      </c>
      <c r="L128" s="1080">
        <f t="shared" ca="1" si="29"/>
        <v>7.3311229704867776E-3</v>
      </c>
      <c r="M128" s="1080">
        <f t="shared" ca="1" si="29"/>
        <v>7.3311229704867776E-3</v>
      </c>
      <c r="N128" s="562"/>
    </row>
    <row r="129" spans="2:14" outlineLevel="1" x14ac:dyDescent="0.15">
      <c r="B129" s="8" t="s">
        <v>1630</v>
      </c>
      <c r="C129" s="26"/>
      <c r="D129" s="8"/>
      <c r="E129" s="8"/>
      <c r="F129" s="375"/>
      <c r="G129" s="1080">
        <f t="shared" ref="G129:M129" ca="1" si="30">G52/G$100</f>
        <v>3.9165178558710517E-2</v>
      </c>
      <c r="H129" s="1080">
        <f t="shared" ca="1" si="30"/>
        <v>3.9165178558710517E-2</v>
      </c>
      <c r="I129" s="1080">
        <f t="shared" ca="1" si="30"/>
        <v>3.9165178558710517E-2</v>
      </c>
      <c r="J129" s="1080">
        <f t="shared" ca="1" si="30"/>
        <v>3.9165178558710517E-2</v>
      </c>
      <c r="K129" s="1080">
        <f t="shared" ca="1" si="30"/>
        <v>3.9165178558710517E-2</v>
      </c>
      <c r="L129" s="1080">
        <f t="shared" ca="1" si="30"/>
        <v>3.9165178558710517E-2</v>
      </c>
      <c r="M129" s="1080">
        <f t="shared" ca="1" si="30"/>
        <v>3.9165178558710517E-2</v>
      </c>
      <c r="N129" s="562"/>
    </row>
    <row r="130" spans="2:14" outlineLevel="1" x14ac:dyDescent="0.15">
      <c r="B130" s="8" t="s">
        <v>1631</v>
      </c>
      <c r="C130" s="26"/>
      <c r="D130" s="8"/>
      <c r="E130" s="8"/>
      <c r="F130" s="375"/>
      <c r="G130" s="1080">
        <f t="shared" ref="G130:M130" ca="1" si="31">G53/G$100</f>
        <v>6.683545210623313E-3</v>
      </c>
      <c r="H130" s="1080">
        <f t="shared" ca="1" si="31"/>
        <v>6.683545210623313E-3</v>
      </c>
      <c r="I130" s="1080">
        <f t="shared" ca="1" si="31"/>
        <v>6.683545210623313E-3</v>
      </c>
      <c r="J130" s="1080">
        <f t="shared" ca="1" si="31"/>
        <v>6.683545210623313E-3</v>
      </c>
      <c r="K130" s="1080">
        <f t="shared" ca="1" si="31"/>
        <v>6.683545210623313E-3</v>
      </c>
      <c r="L130" s="1080">
        <f t="shared" ca="1" si="31"/>
        <v>6.683545210623313E-3</v>
      </c>
      <c r="M130" s="1080">
        <f t="shared" ca="1" si="31"/>
        <v>6.683545210623313E-3</v>
      </c>
      <c r="N130" s="562"/>
    </row>
    <row r="131" spans="2:14" outlineLevel="1" x14ac:dyDescent="0.15">
      <c r="B131" s="9" t="s">
        <v>1632</v>
      </c>
      <c r="C131" s="26"/>
      <c r="D131" s="8"/>
      <c r="E131" s="8"/>
      <c r="F131" s="375"/>
      <c r="G131" s="1080">
        <f t="shared" ref="G131:M131" ca="1" si="32">G54/G$100</f>
        <v>1.5526782847282833E-3</v>
      </c>
      <c r="H131" s="1080">
        <f t="shared" ca="1" si="32"/>
        <v>1.5526782847282833E-3</v>
      </c>
      <c r="I131" s="1080">
        <f t="shared" ca="1" si="32"/>
        <v>1.5526782847282833E-3</v>
      </c>
      <c r="J131" s="1080">
        <f t="shared" ca="1" si="32"/>
        <v>1.5526782847282833E-3</v>
      </c>
      <c r="K131" s="1080">
        <f t="shared" ca="1" si="32"/>
        <v>1.5526782847282833E-3</v>
      </c>
      <c r="L131" s="1080">
        <f t="shared" ca="1" si="32"/>
        <v>1.5526782847282833E-3</v>
      </c>
      <c r="M131" s="1080">
        <f t="shared" ca="1" si="32"/>
        <v>1.5526782847282833E-3</v>
      </c>
      <c r="N131" s="562"/>
    </row>
    <row r="132" spans="2:14" outlineLevel="1" x14ac:dyDescent="0.15">
      <c r="B132" s="8" t="s">
        <v>1633</v>
      </c>
      <c r="C132" s="26"/>
      <c r="D132" s="8"/>
      <c r="E132" s="8"/>
      <c r="F132" s="375"/>
      <c r="G132" s="1080">
        <f t="shared" ref="G132:M132" ca="1" si="33">G55/G$100</f>
        <v>1.2719233225428424E-3</v>
      </c>
      <c r="H132" s="1080">
        <f t="shared" ca="1" si="33"/>
        <v>1.2719233225428424E-3</v>
      </c>
      <c r="I132" s="1080">
        <f t="shared" ca="1" si="33"/>
        <v>1.2719233225428424E-3</v>
      </c>
      <c r="J132" s="1080">
        <f t="shared" ca="1" si="33"/>
        <v>1.2719233225428424E-3</v>
      </c>
      <c r="K132" s="1080">
        <f t="shared" ca="1" si="33"/>
        <v>1.2719233225428424E-3</v>
      </c>
      <c r="L132" s="1080">
        <f t="shared" ca="1" si="33"/>
        <v>1.2719233225428424E-3</v>
      </c>
      <c r="M132" s="1080">
        <f t="shared" ca="1" si="33"/>
        <v>1.2719233225428424E-3</v>
      </c>
      <c r="N132" s="562"/>
    </row>
    <row r="133" spans="2:14" outlineLevel="1" x14ac:dyDescent="0.15">
      <c r="B133" s="8" t="s">
        <v>1634</v>
      </c>
      <c r="C133" s="26"/>
      <c r="D133" s="8"/>
      <c r="E133" s="8"/>
      <c r="F133" s="375"/>
      <c r="G133" s="1080">
        <f t="shared" ref="G133:M133" ca="1" si="34">G56/G$100</f>
        <v>5.8291993561692844E-3</v>
      </c>
      <c r="H133" s="1080">
        <f t="shared" ca="1" si="34"/>
        <v>5.8291993561692844E-3</v>
      </c>
      <c r="I133" s="1080">
        <f t="shared" ca="1" si="34"/>
        <v>5.8291993561692844E-3</v>
      </c>
      <c r="J133" s="1080">
        <f t="shared" ca="1" si="34"/>
        <v>5.8291993561692844E-3</v>
      </c>
      <c r="K133" s="1080">
        <f t="shared" ca="1" si="34"/>
        <v>5.8291993561692844E-3</v>
      </c>
      <c r="L133" s="1080">
        <f t="shared" ca="1" si="34"/>
        <v>5.8291993561692844E-3</v>
      </c>
      <c r="M133" s="1080">
        <f t="shared" ca="1" si="34"/>
        <v>5.8291993561692844E-3</v>
      </c>
      <c r="N133" s="562"/>
    </row>
    <row r="134" spans="2:14" outlineLevel="1" x14ac:dyDescent="0.15">
      <c r="B134" s="8" t="s">
        <v>1635</v>
      </c>
      <c r="C134" s="26"/>
      <c r="D134" s="8"/>
      <c r="E134" s="8"/>
      <c r="F134" s="375"/>
      <c r="G134" s="1080">
        <f t="shared" ref="G134:M134" ca="1" si="35">G57/G$100</f>
        <v>8.1335263051256505E-4</v>
      </c>
      <c r="H134" s="1080">
        <f t="shared" ca="1" si="35"/>
        <v>8.1335263051256505E-4</v>
      </c>
      <c r="I134" s="1080">
        <f t="shared" ca="1" si="35"/>
        <v>8.1335263051256505E-4</v>
      </c>
      <c r="J134" s="1080">
        <f t="shared" ca="1" si="35"/>
        <v>8.1335263051256505E-4</v>
      </c>
      <c r="K134" s="1080">
        <f t="shared" ca="1" si="35"/>
        <v>8.1335263051256505E-4</v>
      </c>
      <c r="L134" s="1080">
        <f t="shared" ca="1" si="35"/>
        <v>8.1335263051256505E-4</v>
      </c>
      <c r="M134" s="1080">
        <f t="shared" ca="1" si="35"/>
        <v>8.1335263051256505E-4</v>
      </c>
      <c r="N134" s="562"/>
    </row>
    <row r="135" spans="2:14" outlineLevel="1" x14ac:dyDescent="0.15">
      <c r="B135" s="247" t="s">
        <v>1636</v>
      </c>
      <c r="C135" s="26"/>
      <c r="D135" s="8"/>
      <c r="E135" s="8"/>
      <c r="F135" s="375"/>
      <c r="G135" s="1080">
        <f t="shared" ref="G135:M135" ca="1" si="36">G58/G$100</f>
        <v>6.2647000333773586E-2</v>
      </c>
      <c r="H135" s="1080">
        <f t="shared" ca="1" si="36"/>
        <v>6.2647000333773586E-2</v>
      </c>
      <c r="I135" s="1080">
        <f t="shared" ca="1" si="36"/>
        <v>6.2647000333773586E-2</v>
      </c>
      <c r="J135" s="1080">
        <f t="shared" ca="1" si="36"/>
        <v>6.2647000333773586E-2</v>
      </c>
      <c r="K135" s="1080">
        <f t="shared" ca="1" si="36"/>
        <v>6.2647000333773586E-2</v>
      </c>
      <c r="L135" s="1080">
        <f t="shared" ca="1" si="36"/>
        <v>6.2647000333773586E-2</v>
      </c>
      <c r="M135" s="1080">
        <f t="shared" ca="1" si="36"/>
        <v>6.2647000333773586E-2</v>
      </c>
      <c r="N135" s="562"/>
    </row>
    <row r="136" spans="2:14" outlineLevel="1" x14ac:dyDescent="0.15">
      <c r="B136" s="247"/>
      <c r="C136" s="26"/>
      <c r="D136" s="8"/>
      <c r="E136" s="8"/>
      <c r="F136" s="375"/>
      <c r="G136" s="1080"/>
      <c r="H136" s="1080"/>
      <c r="I136" s="1080"/>
      <c r="J136" s="1080"/>
      <c r="K136" s="1080"/>
      <c r="L136" s="1080"/>
      <c r="M136" s="1080"/>
      <c r="N136" s="562"/>
    </row>
    <row r="137" spans="2:14" outlineLevel="1" x14ac:dyDescent="0.15">
      <c r="B137" s="1082" t="s">
        <v>1503</v>
      </c>
      <c r="C137" s="26"/>
      <c r="D137" s="8"/>
      <c r="E137" s="8"/>
      <c r="F137" s="375"/>
      <c r="G137" s="1080"/>
      <c r="H137" s="1080"/>
      <c r="I137" s="1080"/>
      <c r="J137" s="1080"/>
      <c r="K137" s="1080"/>
      <c r="L137" s="1080"/>
      <c r="M137" s="1080"/>
      <c r="N137" s="562"/>
    </row>
    <row r="138" spans="2:14" outlineLevel="1" x14ac:dyDescent="0.15">
      <c r="B138" s="247" t="s">
        <v>1637</v>
      </c>
      <c r="C138" s="26"/>
      <c r="D138" s="8"/>
      <c r="E138" s="8"/>
      <c r="F138" s="375"/>
      <c r="G138" s="1080">
        <f t="shared" ref="G138:M138" ca="1" si="37">G61/G$100</f>
        <v>0</v>
      </c>
      <c r="H138" s="1080">
        <f t="shared" ca="1" si="37"/>
        <v>0</v>
      </c>
      <c r="I138" s="1080">
        <f t="shared" ca="1" si="37"/>
        <v>0</v>
      </c>
      <c r="J138" s="1080">
        <f t="shared" ca="1" si="37"/>
        <v>0</v>
      </c>
      <c r="K138" s="1080">
        <f t="shared" ca="1" si="37"/>
        <v>0</v>
      </c>
      <c r="L138" s="1080">
        <f t="shared" ca="1" si="37"/>
        <v>0</v>
      </c>
      <c r="M138" s="1080">
        <f t="shared" ca="1" si="37"/>
        <v>0</v>
      </c>
      <c r="N138" s="562"/>
    </row>
    <row r="139" spans="2:14" outlineLevel="1" x14ac:dyDescent="0.15">
      <c r="B139" s="9" t="s">
        <v>1638</v>
      </c>
      <c r="C139" s="26"/>
      <c r="D139" s="8"/>
      <c r="E139" s="8"/>
      <c r="F139" s="375"/>
      <c r="G139" s="1080">
        <f t="shared" ref="G139:M139" ca="1" si="38">G62/G$100</f>
        <v>5.6528428074540627E-3</v>
      </c>
      <c r="H139" s="1080">
        <f t="shared" ca="1" si="38"/>
        <v>5.6528428074540627E-3</v>
      </c>
      <c r="I139" s="1080">
        <f t="shared" ca="1" si="38"/>
        <v>5.6528428074540627E-3</v>
      </c>
      <c r="J139" s="1080">
        <f t="shared" ca="1" si="38"/>
        <v>5.6528428074540627E-3</v>
      </c>
      <c r="K139" s="1080">
        <f t="shared" ca="1" si="38"/>
        <v>5.6528428074540627E-3</v>
      </c>
      <c r="L139" s="1080">
        <f t="shared" ca="1" si="38"/>
        <v>5.6528428074540627E-3</v>
      </c>
      <c r="M139" s="1080">
        <f t="shared" ca="1" si="38"/>
        <v>5.6528428074540627E-3</v>
      </c>
      <c r="N139" s="562"/>
    </row>
    <row r="140" spans="2:14" outlineLevel="1" x14ac:dyDescent="0.15">
      <c r="B140" s="8" t="s">
        <v>1639</v>
      </c>
      <c r="C140" s="26"/>
      <c r="D140" s="8"/>
      <c r="E140" s="8"/>
      <c r="F140" s="375"/>
      <c r="G140" s="1080">
        <f t="shared" ref="G140:M140" ca="1" si="39">G63/G$100</f>
        <v>2.6027284176402082E-4</v>
      </c>
      <c r="H140" s="1080">
        <f t="shared" ca="1" si="39"/>
        <v>2.6027284176402082E-4</v>
      </c>
      <c r="I140" s="1080">
        <f t="shared" ca="1" si="39"/>
        <v>2.6027284176402082E-4</v>
      </c>
      <c r="J140" s="1080">
        <f t="shared" ca="1" si="39"/>
        <v>2.6027284176402082E-4</v>
      </c>
      <c r="K140" s="1080">
        <f t="shared" ca="1" si="39"/>
        <v>2.6027284176402082E-4</v>
      </c>
      <c r="L140" s="1080">
        <f t="shared" ca="1" si="39"/>
        <v>2.6027284176402082E-4</v>
      </c>
      <c r="M140" s="1080">
        <f t="shared" ca="1" si="39"/>
        <v>2.6027284176402082E-4</v>
      </c>
      <c r="N140" s="562"/>
    </row>
    <row r="141" spans="2:14" outlineLevel="1" x14ac:dyDescent="0.15">
      <c r="B141" s="8" t="s">
        <v>1640</v>
      </c>
      <c r="C141" s="26"/>
      <c r="D141" s="8"/>
      <c r="E141" s="8"/>
      <c r="F141" s="375"/>
      <c r="G141" s="1080">
        <f t="shared" ref="G141:M141" ca="1" si="40">G64/G$100</f>
        <v>1.5632657428684572E-3</v>
      </c>
      <c r="H141" s="1080">
        <f t="shared" ca="1" si="40"/>
        <v>1.5632657428684572E-3</v>
      </c>
      <c r="I141" s="1080">
        <f t="shared" ca="1" si="40"/>
        <v>1.5632657428684572E-3</v>
      </c>
      <c r="J141" s="1080">
        <f t="shared" ca="1" si="40"/>
        <v>1.5632657428684572E-3</v>
      </c>
      <c r="K141" s="1080">
        <f t="shared" ca="1" si="40"/>
        <v>1.5632657428684572E-3</v>
      </c>
      <c r="L141" s="1080">
        <f t="shared" ca="1" si="40"/>
        <v>1.5632657428684572E-3</v>
      </c>
      <c r="M141" s="1080">
        <f t="shared" ca="1" si="40"/>
        <v>1.5632657428684572E-3</v>
      </c>
      <c r="N141" s="562"/>
    </row>
    <row r="142" spans="2:14" outlineLevel="1" x14ac:dyDescent="0.15">
      <c r="B142" s="8" t="s">
        <v>1641</v>
      </c>
      <c r="C142" s="26"/>
      <c r="D142" s="8"/>
      <c r="E142" s="8"/>
      <c r="F142" s="375"/>
      <c r="G142" s="1080">
        <f t="shared" ref="G142:M142" ca="1" si="41">G65/G$100</f>
        <v>7.9549277708442499E-4</v>
      </c>
      <c r="H142" s="1080">
        <f t="shared" ca="1" si="41"/>
        <v>7.9549277708442499E-4</v>
      </c>
      <c r="I142" s="1080">
        <f t="shared" ca="1" si="41"/>
        <v>7.9549277708442499E-4</v>
      </c>
      <c r="J142" s="1080">
        <f t="shared" ca="1" si="41"/>
        <v>7.9549277708442499E-4</v>
      </c>
      <c r="K142" s="1080">
        <f t="shared" ca="1" si="41"/>
        <v>7.9549277708442499E-4</v>
      </c>
      <c r="L142" s="1080">
        <f t="shared" ca="1" si="41"/>
        <v>7.9549277708442499E-4</v>
      </c>
      <c r="M142" s="1080">
        <f t="shared" ca="1" si="41"/>
        <v>7.9549277708442499E-4</v>
      </c>
      <c r="N142" s="562"/>
    </row>
    <row r="143" spans="2:14" outlineLevel="1" x14ac:dyDescent="0.15">
      <c r="B143" s="8" t="s">
        <v>1642</v>
      </c>
      <c r="C143" s="26"/>
      <c r="D143" s="8"/>
      <c r="E143" s="8"/>
      <c r="F143" s="375"/>
      <c r="G143" s="1080">
        <f t="shared" ref="G143:M143" ca="1" si="42">G66/G$100</f>
        <v>4.6423965184973137E-3</v>
      </c>
      <c r="H143" s="1080">
        <f t="shared" ca="1" si="42"/>
        <v>4.6423965184973137E-3</v>
      </c>
      <c r="I143" s="1080">
        <f t="shared" ca="1" si="42"/>
        <v>4.6423965184973137E-3</v>
      </c>
      <c r="J143" s="1080">
        <f t="shared" ca="1" si="42"/>
        <v>4.6423965184973137E-3</v>
      </c>
      <c r="K143" s="1080">
        <f t="shared" ca="1" si="42"/>
        <v>4.6423965184973137E-3</v>
      </c>
      <c r="L143" s="1080">
        <f t="shared" ca="1" si="42"/>
        <v>4.6423965184973137E-3</v>
      </c>
      <c r="M143" s="1080">
        <f t="shared" ca="1" si="42"/>
        <v>4.6423965184973137E-3</v>
      </c>
      <c r="N143" s="562"/>
    </row>
    <row r="144" spans="2:14" outlineLevel="1" x14ac:dyDescent="0.15">
      <c r="B144" s="8" t="s">
        <v>1643</v>
      </c>
      <c r="C144" s="26"/>
      <c r="D144" s="8"/>
      <c r="E144" s="8"/>
      <c r="F144" s="375"/>
      <c r="G144" s="1080">
        <f t="shared" ref="G144:M144" ca="1" si="43">G67/G$100</f>
        <v>7.5136468422626009E-4</v>
      </c>
      <c r="H144" s="1080">
        <f t="shared" ca="1" si="43"/>
        <v>7.5136468422626009E-4</v>
      </c>
      <c r="I144" s="1080">
        <f t="shared" ca="1" si="43"/>
        <v>7.5136468422626009E-4</v>
      </c>
      <c r="J144" s="1080">
        <f t="shared" ca="1" si="43"/>
        <v>7.5136468422626009E-4</v>
      </c>
      <c r="K144" s="1080">
        <f t="shared" ca="1" si="43"/>
        <v>7.5136468422626009E-4</v>
      </c>
      <c r="L144" s="1080">
        <f t="shared" ca="1" si="43"/>
        <v>7.5136468422626009E-4</v>
      </c>
      <c r="M144" s="1080">
        <f t="shared" ca="1" si="43"/>
        <v>7.5136468422626009E-4</v>
      </c>
      <c r="N144" s="562"/>
    </row>
    <row r="145" spans="2:14" outlineLevel="1" x14ac:dyDescent="0.15">
      <c r="B145" s="8" t="s">
        <v>1644</v>
      </c>
      <c r="C145" s="26"/>
      <c r="D145" s="8"/>
      <c r="E145" s="8"/>
      <c r="F145" s="375"/>
      <c r="G145" s="1080">
        <f t="shared" ref="G145:M145" ca="1" si="44">G68/G$100</f>
        <v>4.5451918873728152E-4</v>
      </c>
      <c r="H145" s="1080">
        <f t="shared" ca="1" si="44"/>
        <v>4.5451918873728152E-4</v>
      </c>
      <c r="I145" s="1080">
        <f t="shared" ca="1" si="44"/>
        <v>4.5451918873728152E-4</v>
      </c>
      <c r="J145" s="1080">
        <f t="shared" ca="1" si="44"/>
        <v>4.5451918873728152E-4</v>
      </c>
      <c r="K145" s="1080">
        <f t="shared" ca="1" si="44"/>
        <v>4.5451918873728152E-4</v>
      </c>
      <c r="L145" s="1080">
        <f t="shared" ca="1" si="44"/>
        <v>4.5451918873728152E-4</v>
      </c>
      <c r="M145" s="1080">
        <f t="shared" ca="1" si="44"/>
        <v>4.5451918873728152E-4</v>
      </c>
      <c r="N145" s="562"/>
    </row>
    <row r="146" spans="2:14" outlineLevel="1" x14ac:dyDescent="0.15">
      <c r="B146" s="8" t="s">
        <v>1645</v>
      </c>
      <c r="C146" s="26"/>
      <c r="D146" s="8"/>
      <c r="E146" s="8"/>
      <c r="F146" s="375"/>
      <c r="G146" s="1080">
        <f t="shared" ref="G146:M146" ca="1" si="45">G69/G$100</f>
        <v>1.855674512850454E-3</v>
      </c>
      <c r="H146" s="1080">
        <f t="shared" ca="1" si="45"/>
        <v>1.855674512850454E-3</v>
      </c>
      <c r="I146" s="1080">
        <f t="shared" ca="1" si="45"/>
        <v>1.855674512850454E-3</v>
      </c>
      <c r="J146" s="1080">
        <f t="shared" ca="1" si="45"/>
        <v>1.855674512850454E-3</v>
      </c>
      <c r="K146" s="1080">
        <f t="shared" ca="1" si="45"/>
        <v>1.855674512850454E-3</v>
      </c>
      <c r="L146" s="1080">
        <f t="shared" ca="1" si="45"/>
        <v>1.855674512850454E-3</v>
      </c>
      <c r="M146" s="1080">
        <f t="shared" ca="1" si="45"/>
        <v>1.855674512850454E-3</v>
      </c>
      <c r="N146" s="562"/>
    </row>
    <row r="147" spans="2:14" outlineLevel="1" x14ac:dyDescent="0.15">
      <c r="B147" s="8" t="s">
        <v>1646</v>
      </c>
      <c r="C147" s="26"/>
      <c r="D147" s="8"/>
      <c r="E147" s="8"/>
      <c r="F147" s="375"/>
      <c r="G147" s="1080">
        <f t="shared" ref="G147:M147" ca="1" si="46">G70/G$100</f>
        <v>9.6372651021654696E-3</v>
      </c>
      <c r="H147" s="1080">
        <f t="shared" ca="1" si="46"/>
        <v>9.6372651021654696E-3</v>
      </c>
      <c r="I147" s="1080">
        <f t="shared" ca="1" si="46"/>
        <v>9.6372651021654696E-3</v>
      </c>
      <c r="J147" s="1080">
        <f t="shared" ca="1" si="46"/>
        <v>9.6372651021654696E-3</v>
      </c>
      <c r="K147" s="1080">
        <f t="shared" ca="1" si="46"/>
        <v>9.6372651021654696E-3</v>
      </c>
      <c r="L147" s="1080">
        <f t="shared" ca="1" si="46"/>
        <v>9.6372651021654696E-3</v>
      </c>
      <c r="M147" s="1080">
        <f t="shared" ca="1" si="46"/>
        <v>9.6372651021654696E-3</v>
      </c>
      <c r="N147" s="562"/>
    </row>
    <row r="148" spans="2:14" outlineLevel="1" x14ac:dyDescent="0.15">
      <c r="B148" s="8" t="s">
        <v>1647</v>
      </c>
      <c r="C148" s="26"/>
      <c r="D148" s="8"/>
      <c r="E148" s="8"/>
      <c r="F148" s="375"/>
      <c r="G148" s="1080">
        <f t="shared" ref="G148:M148" ca="1" si="47">G71/G$100</f>
        <v>1.5250299760522605E-3</v>
      </c>
      <c r="H148" s="1080">
        <f t="shared" ca="1" si="47"/>
        <v>1.5250299760522605E-3</v>
      </c>
      <c r="I148" s="1080">
        <f t="shared" ca="1" si="47"/>
        <v>1.5250299760522605E-3</v>
      </c>
      <c r="J148" s="1080">
        <f t="shared" ca="1" si="47"/>
        <v>1.5250299760522605E-3</v>
      </c>
      <c r="K148" s="1080">
        <f t="shared" ca="1" si="47"/>
        <v>1.5250299760522605E-3</v>
      </c>
      <c r="L148" s="1080">
        <f t="shared" ca="1" si="47"/>
        <v>1.5250299760522605E-3</v>
      </c>
      <c r="M148" s="1080">
        <f t="shared" ca="1" si="47"/>
        <v>1.5250299760522605E-3</v>
      </c>
      <c r="N148" s="562"/>
    </row>
    <row r="149" spans="2:14" outlineLevel="1" x14ac:dyDescent="0.15">
      <c r="B149" s="8" t="s">
        <v>1648</v>
      </c>
      <c r="C149" s="26"/>
      <c r="D149" s="8"/>
      <c r="E149" s="8"/>
      <c r="F149" s="375"/>
      <c r="G149" s="1080">
        <f t="shared" ref="G149:M149" ca="1" si="48">G72/G$100</f>
        <v>6.5068210441005204E-3</v>
      </c>
      <c r="H149" s="1080">
        <f t="shared" ca="1" si="48"/>
        <v>6.5068210441005204E-3</v>
      </c>
      <c r="I149" s="1080">
        <f t="shared" ca="1" si="48"/>
        <v>6.5068210441005204E-3</v>
      </c>
      <c r="J149" s="1080">
        <f t="shared" ca="1" si="48"/>
        <v>6.5068210441005204E-3</v>
      </c>
      <c r="K149" s="1080">
        <f t="shared" ca="1" si="48"/>
        <v>6.5068210441005204E-3</v>
      </c>
      <c r="L149" s="1080">
        <f t="shared" ca="1" si="48"/>
        <v>6.5068210441005204E-3</v>
      </c>
      <c r="M149" s="1080">
        <f t="shared" ca="1" si="48"/>
        <v>6.5068210441005204E-3</v>
      </c>
      <c r="N149" s="562"/>
    </row>
    <row r="150" spans="2:14" outlineLevel="1" x14ac:dyDescent="0.15">
      <c r="B150" s="8" t="s">
        <v>1649</v>
      </c>
      <c r="C150" s="26"/>
      <c r="D150" s="8"/>
      <c r="E150" s="8"/>
      <c r="F150" s="375"/>
      <c r="G150" s="1080">
        <f t="shared" ref="G150:M150" ca="1" si="49">G73/G$100</f>
        <v>1.6267052610251301E-3</v>
      </c>
      <c r="H150" s="1080">
        <f t="shared" ca="1" si="49"/>
        <v>1.6267052610251301E-3</v>
      </c>
      <c r="I150" s="1080">
        <f t="shared" ca="1" si="49"/>
        <v>1.6267052610251301E-3</v>
      </c>
      <c r="J150" s="1080">
        <f t="shared" ca="1" si="49"/>
        <v>1.6267052610251301E-3</v>
      </c>
      <c r="K150" s="1080">
        <f t="shared" ca="1" si="49"/>
        <v>1.6267052610251301E-3</v>
      </c>
      <c r="L150" s="1080">
        <f t="shared" ca="1" si="49"/>
        <v>1.6267052610251301E-3</v>
      </c>
      <c r="M150" s="1080">
        <f t="shared" ca="1" si="49"/>
        <v>1.6267052610251301E-3</v>
      </c>
      <c r="N150" s="562"/>
    </row>
    <row r="151" spans="2:14" outlineLevel="1" x14ac:dyDescent="0.15">
      <c r="B151" s="8" t="s">
        <v>1650</v>
      </c>
      <c r="C151" s="26"/>
      <c r="D151" s="8"/>
      <c r="E151" s="8"/>
      <c r="F151" s="375"/>
      <c r="G151" s="1080">
        <f t="shared" ref="G151:M151" ca="1" si="50">G74/G$100</f>
        <v>3.5271650456825655E-2</v>
      </c>
      <c r="H151" s="1080">
        <f t="shared" ca="1" si="50"/>
        <v>3.5271650456825655E-2</v>
      </c>
      <c r="I151" s="1080">
        <f t="shared" ca="1" si="50"/>
        <v>3.5271650456825655E-2</v>
      </c>
      <c r="J151" s="1080">
        <f t="shared" ca="1" si="50"/>
        <v>3.5271650456825655E-2</v>
      </c>
      <c r="K151" s="1080">
        <f t="shared" ca="1" si="50"/>
        <v>3.5271650456825655E-2</v>
      </c>
      <c r="L151" s="1080">
        <f t="shared" ca="1" si="50"/>
        <v>3.5271650456825655E-2</v>
      </c>
      <c r="M151" s="1080">
        <f t="shared" ca="1" si="50"/>
        <v>3.5271650456825655E-2</v>
      </c>
      <c r="N151" s="562"/>
    </row>
    <row r="152" spans="2:14" outlineLevel="1" x14ac:dyDescent="0.15">
      <c r="B152" s="8"/>
      <c r="C152" s="26"/>
      <c r="D152" s="8"/>
      <c r="E152" s="8"/>
      <c r="F152" s="375"/>
      <c r="G152" s="1080"/>
      <c r="H152" s="1080"/>
      <c r="I152" s="1080"/>
      <c r="J152" s="1080"/>
      <c r="K152" s="1080"/>
      <c r="L152" s="1080"/>
      <c r="M152" s="1080"/>
      <c r="N152" s="562"/>
    </row>
    <row r="153" spans="2:14" outlineLevel="1" x14ac:dyDescent="0.15">
      <c r="B153" s="1082" t="s">
        <v>1668</v>
      </c>
      <c r="C153" s="26"/>
      <c r="D153" s="8"/>
      <c r="E153" s="8"/>
      <c r="F153" s="375"/>
      <c r="G153" s="1080"/>
      <c r="H153" s="1080"/>
      <c r="I153" s="1080"/>
      <c r="J153" s="1080"/>
      <c r="K153" s="1080"/>
      <c r="L153" s="1080"/>
      <c r="M153" s="1080"/>
      <c r="N153" s="562"/>
    </row>
    <row r="154" spans="2:14" outlineLevel="1" x14ac:dyDescent="0.15">
      <c r="B154" s="8" t="s">
        <v>1651</v>
      </c>
      <c r="C154" s="26"/>
      <c r="D154" s="26"/>
      <c r="E154" s="26"/>
      <c r="F154" s="26"/>
      <c r="G154" s="1080">
        <f t="shared" ref="G154:M154" ca="1" si="51">G77/G$100</f>
        <v>0.11698399187395325</v>
      </c>
      <c r="H154" s="1080">
        <f t="shared" ca="1" si="51"/>
        <v>0.11698399187395325</v>
      </c>
      <c r="I154" s="1080">
        <f t="shared" ca="1" si="51"/>
        <v>0.11698399187395325</v>
      </c>
      <c r="J154" s="1080">
        <f t="shared" ca="1" si="51"/>
        <v>0.11698399187395325</v>
      </c>
      <c r="K154" s="1080">
        <f t="shared" ca="1" si="51"/>
        <v>0.11698399187395325</v>
      </c>
      <c r="L154" s="1080">
        <f t="shared" ca="1" si="51"/>
        <v>0.11698399187395325</v>
      </c>
      <c r="M154" s="1080">
        <f t="shared" ca="1" si="51"/>
        <v>0.11698399187395325</v>
      </c>
    </row>
    <row r="155" spans="2:14" outlineLevel="1" x14ac:dyDescent="0.15">
      <c r="B155" s="8"/>
      <c r="G155" s="1080"/>
      <c r="H155" s="1080"/>
      <c r="I155" s="1080"/>
      <c r="J155" s="1080"/>
      <c r="K155" s="1080"/>
      <c r="L155" s="1080"/>
      <c r="M155" s="1080"/>
    </row>
    <row r="156" spans="2:14" ht="16" outlineLevel="1" x14ac:dyDescent="0.2">
      <c r="B156" s="5" t="s">
        <v>1596</v>
      </c>
      <c r="G156" s="1080"/>
      <c r="H156" s="1080"/>
      <c r="I156" s="1080"/>
      <c r="J156" s="1080"/>
      <c r="K156" s="1080"/>
      <c r="L156" s="1080"/>
      <c r="M156" s="1080"/>
    </row>
    <row r="157" spans="2:14" outlineLevel="1" x14ac:dyDescent="0.15">
      <c r="B157" s="8" t="s">
        <v>1652</v>
      </c>
      <c r="G157" s="1080">
        <f t="shared" ref="G157:M157" ca="1" si="52">G80/G$100</f>
        <v>1.4814498126375699E-2</v>
      </c>
      <c r="H157" s="1080">
        <f t="shared" ca="1" si="52"/>
        <v>1.4814498126375699E-2</v>
      </c>
      <c r="I157" s="1080">
        <f t="shared" ca="1" si="52"/>
        <v>1.4814498126375699E-2</v>
      </c>
      <c r="J157" s="1080">
        <f t="shared" ca="1" si="52"/>
        <v>1.4814498126375699E-2</v>
      </c>
      <c r="K157" s="1080">
        <f t="shared" ca="1" si="52"/>
        <v>1.4814498126375699E-2</v>
      </c>
      <c r="L157" s="1080">
        <f t="shared" ca="1" si="52"/>
        <v>1.4814498126375699E-2</v>
      </c>
      <c r="M157" s="1080">
        <f t="shared" ca="1" si="52"/>
        <v>1.4814498126375699E-2</v>
      </c>
    </row>
    <row r="158" spans="2:14" outlineLevel="1" x14ac:dyDescent="0.15">
      <c r="B158" s="8" t="s">
        <v>1653</v>
      </c>
      <c r="C158" s="95"/>
      <c r="D158" s="8"/>
      <c r="E158" s="8"/>
      <c r="F158" s="375"/>
      <c r="G158" s="1080">
        <f t="shared" ref="G158:M158" ca="1" si="53">G82/G$100</f>
        <v>2.0524945443731433E-2</v>
      </c>
      <c r="H158" s="1080">
        <f t="shared" ca="1" si="53"/>
        <v>2.0524945443731433E-2</v>
      </c>
      <c r="I158" s="1080">
        <f t="shared" ca="1" si="53"/>
        <v>2.0524945443731433E-2</v>
      </c>
      <c r="J158" s="1080">
        <f t="shared" ca="1" si="53"/>
        <v>2.0524945443731433E-2</v>
      </c>
      <c r="K158" s="1080">
        <f t="shared" ca="1" si="53"/>
        <v>2.0524945443731433E-2</v>
      </c>
      <c r="L158" s="1080">
        <f t="shared" ca="1" si="53"/>
        <v>2.0524945443731433E-2</v>
      </c>
      <c r="M158" s="1080">
        <f t="shared" ca="1" si="53"/>
        <v>2.0524945443731433E-2</v>
      </c>
      <c r="N158" s="562"/>
    </row>
    <row r="159" spans="2:14" outlineLevel="1" x14ac:dyDescent="0.15">
      <c r="B159" s="8" t="s">
        <v>1654</v>
      </c>
      <c r="C159" s="95"/>
      <c r="D159" s="8"/>
      <c r="E159" s="8"/>
      <c r="F159" s="375"/>
      <c r="G159" s="1080">
        <f t="shared" ref="G159:M159" ca="1" si="54">G83/G$100</f>
        <v>5.3500218127208038E-2</v>
      </c>
      <c r="H159" s="1080">
        <f t="shared" ca="1" si="54"/>
        <v>5.3500218127208038E-2</v>
      </c>
      <c r="I159" s="1080">
        <f t="shared" ca="1" si="54"/>
        <v>5.3500218127208038E-2</v>
      </c>
      <c r="J159" s="1080">
        <f t="shared" ca="1" si="54"/>
        <v>5.3500218127208038E-2</v>
      </c>
      <c r="K159" s="1080">
        <f t="shared" ca="1" si="54"/>
        <v>5.3500218127208038E-2</v>
      </c>
      <c r="L159" s="1080">
        <f t="shared" ca="1" si="54"/>
        <v>5.3500218127208038E-2</v>
      </c>
      <c r="M159" s="1080">
        <f t="shared" ca="1" si="54"/>
        <v>5.3500218127208038E-2</v>
      </c>
      <c r="N159" s="562"/>
    </row>
    <row r="160" spans="2:14" outlineLevel="1" x14ac:dyDescent="0.15">
      <c r="B160" s="8" t="s">
        <v>1655</v>
      </c>
      <c r="C160" s="95"/>
      <c r="D160" s="8"/>
      <c r="E160" s="8"/>
      <c r="F160" s="375"/>
      <c r="G160" s="1080">
        <f t="shared" ref="G160:M160" ca="1" si="55">G84/G$100</f>
        <v>1.4309540714969718E-2</v>
      </c>
      <c r="H160" s="1080">
        <f t="shared" ca="1" si="55"/>
        <v>1.4309540714969718E-2</v>
      </c>
      <c r="I160" s="1080">
        <f t="shared" ca="1" si="55"/>
        <v>1.4309540714969718E-2</v>
      </c>
      <c r="J160" s="1080">
        <f t="shared" ca="1" si="55"/>
        <v>1.4309540714969718E-2</v>
      </c>
      <c r="K160" s="1080">
        <f t="shared" ca="1" si="55"/>
        <v>1.4309540714969718E-2</v>
      </c>
      <c r="L160" s="1080">
        <f t="shared" ca="1" si="55"/>
        <v>1.4309540714969718E-2</v>
      </c>
      <c r="M160" s="1080">
        <f t="shared" ca="1" si="55"/>
        <v>1.4309540714969718E-2</v>
      </c>
      <c r="N160" s="562"/>
    </row>
    <row r="161" spans="2:14" outlineLevel="1" x14ac:dyDescent="0.15">
      <c r="B161" s="8" t="s">
        <v>1656</v>
      </c>
      <c r="C161" s="95"/>
      <c r="D161" s="8"/>
      <c r="E161" s="8"/>
      <c r="F161" s="375"/>
      <c r="G161" s="1080">
        <f t="shared" ref="G161:M161" ca="1" si="56">G85/G$100</f>
        <v>1.8725076344522817E-2</v>
      </c>
      <c r="H161" s="1080">
        <f t="shared" ca="1" si="56"/>
        <v>1.8725076344522817E-2</v>
      </c>
      <c r="I161" s="1080">
        <f t="shared" ca="1" si="56"/>
        <v>1.8725076344522817E-2</v>
      </c>
      <c r="J161" s="1080">
        <f t="shared" ca="1" si="56"/>
        <v>1.8725076344522817E-2</v>
      </c>
      <c r="K161" s="1080">
        <f t="shared" ca="1" si="56"/>
        <v>1.8725076344522817E-2</v>
      </c>
      <c r="L161" s="1080">
        <f t="shared" ca="1" si="56"/>
        <v>1.8725076344522817E-2</v>
      </c>
      <c r="M161" s="1080">
        <f t="shared" ca="1" si="56"/>
        <v>1.8725076344522817E-2</v>
      </c>
      <c r="N161" s="562"/>
    </row>
    <row r="162" spans="2:14" outlineLevel="1" x14ac:dyDescent="0.15">
      <c r="B162" s="8" t="s">
        <v>1657</v>
      </c>
      <c r="C162" s="95"/>
      <c r="D162" s="8"/>
      <c r="E162" s="8"/>
      <c r="F162" s="375"/>
      <c r="G162" s="1080">
        <f t="shared" ref="G162:M162" ca="1" si="57">G87/G$100</f>
        <v>0.14108976011609509</v>
      </c>
      <c r="H162" s="1080">
        <f t="shared" ca="1" si="57"/>
        <v>0.14108976011609509</v>
      </c>
      <c r="I162" s="1080">
        <f t="shared" ca="1" si="57"/>
        <v>0.14108976011609509</v>
      </c>
      <c r="J162" s="1080">
        <f t="shared" ca="1" si="57"/>
        <v>0.14108976011609509</v>
      </c>
      <c r="K162" s="1080">
        <f t="shared" ca="1" si="57"/>
        <v>0.14108976011609509</v>
      </c>
      <c r="L162" s="1080">
        <f t="shared" ca="1" si="57"/>
        <v>0.14108976011609509</v>
      </c>
      <c r="M162" s="1080">
        <f t="shared" ca="1" si="57"/>
        <v>0.14108976011609509</v>
      </c>
      <c r="N162" s="562"/>
    </row>
    <row r="163" spans="2:14" outlineLevel="1" x14ac:dyDescent="0.15">
      <c r="B163" s="8"/>
      <c r="C163" s="95"/>
      <c r="D163" s="8"/>
      <c r="E163" s="8"/>
      <c r="F163" s="375"/>
      <c r="G163" s="1080"/>
      <c r="H163" s="1080"/>
      <c r="I163" s="1080"/>
      <c r="J163" s="1080"/>
      <c r="K163" s="1080"/>
      <c r="L163" s="1080"/>
      <c r="M163" s="1080"/>
      <c r="N163" s="562"/>
    </row>
    <row r="164" spans="2:14" ht="16" outlineLevel="1" x14ac:dyDescent="0.2">
      <c r="B164" s="5" t="s">
        <v>1605</v>
      </c>
      <c r="C164" s="95"/>
      <c r="D164" s="8"/>
      <c r="E164" s="8"/>
      <c r="F164" s="375"/>
      <c r="G164" s="1080"/>
      <c r="H164" s="1080"/>
      <c r="I164" s="1080"/>
      <c r="J164" s="1080"/>
      <c r="K164" s="1080"/>
      <c r="L164" s="1080"/>
      <c r="M164" s="1080"/>
      <c r="N164" s="562"/>
    </row>
    <row r="165" spans="2:14" outlineLevel="1" x14ac:dyDescent="0.15">
      <c r="B165" s="8" t="s">
        <v>1658</v>
      </c>
      <c r="G165" s="1080">
        <f t="shared" ref="G165:M165" ca="1" si="58">G90/G$100</f>
        <v>2.8823013002697049E-2</v>
      </c>
      <c r="H165" s="1080">
        <f t="shared" ca="1" si="58"/>
        <v>2.8823013002697049E-2</v>
      </c>
      <c r="I165" s="1080">
        <f t="shared" ca="1" si="58"/>
        <v>2.8823013002697049E-2</v>
      </c>
      <c r="J165" s="1080">
        <f t="shared" ca="1" si="58"/>
        <v>2.8823013002697049E-2</v>
      </c>
      <c r="K165" s="1080">
        <f t="shared" ca="1" si="58"/>
        <v>2.8823013002697049E-2</v>
      </c>
      <c r="L165" s="1080">
        <f t="shared" ca="1" si="58"/>
        <v>2.8823013002697049E-2</v>
      </c>
      <c r="M165" s="1080">
        <f t="shared" ca="1" si="58"/>
        <v>2.8823013002697049E-2</v>
      </c>
    </row>
    <row r="166" spans="2:14" outlineLevel="1" x14ac:dyDescent="0.15">
      <c r="B166" s="8" t="s">
        <v>1659</v>
      </c>
      <c r="C166" s="95"/>
      <c r="D166" s="8"/>
      <c r="E166" s="8"/>
      <c r="F166" s="375"/>
      <c r="G166" s="1080">
        <f t="shared" ref="G166:M166" ca="1" si="59">G91/G$100</f>
        <v>4.4732922661455801E-2</v>
      </c>
      <c r="H166" s="1080">
        <f t="shared" ca="1" si="59"/>
        <v>4.4732922661455801E-2</v>
      </c>
      <c r="I166" s="1080">
        <f t="shared" ca="1" si="59"/>
        <v>4.4732922661455801E-2</v>
      </c>
      <c r="J166" s="1080">
        <f t="shared" ca="1" si="59"/>
        <v>4.4732922661455801E-2</v>
      </c>
      <c r="K166" s="1080">
        <f t="shared" ca="1" si="59"/>
        <v>4.4732922661455801E-2</v>
      </c>
      <c r="L166" s="1080">
        <f t="shared" ca="1" si="59"/>
        <v>4.4732922661455801E-2</v>
      </c>
      <c r="M166" s="1080">
        <f t="shared" ca="1" si="59"/>
        <v>4.4732922661455801E-2</v>
      </c>
      <c r="N166" s="562"/>
    </row>
    <row r="167" spans="2:14" outlineLevel="1" x14ac:dyDescent="0.15">
      <c r="B167" s="8" t="s">
        <v>1660</v>
      </c>
      <c r="C167" s="95"/>
      <c r="D167" s="8"/>
      <c r="E167" s="8"/>
      <c r="F167" s="375"/>
      <c r="G167" s="1080">
        <f t="shared" ref="G167:M167" ca="1" si="60">G92/G$100</f>
        <v>5.3173241378017086E-2</v>
      </c>
      <c r="H167" s="1080">
        <f t="shared" ca="1" si="60"/>
        <v>5.3173241378017086E-2</v>
      </c>
      <c r="I167" s="1080">
        <f t="shared" ca="1" si="60"/>
        <v>5.3173241378017086E-2</v>
      </c>
      <c r="J167" s="1080">
        <f t="shared" ca="1" si="60"/>
        <v>5.3173241378017086E-2</v>
      </c>
      <c r="K167" s="1080">
        <f t="shared" ca="1" si="60"/>
        <v>5.3173241378017086E-2</v>
      </c>
      <c r="L167" s="1080">
        <f t="shared" ca="1" si="60"/>
        <v>5.3173241378017086E-2</v>
      </c>
      <c r="M167" s="1080">
        <f t="shared" ca="1" si="60"/>
        <v>5.3173241378017086E-2</v>
      </c>
    </row>
    <row r="168" spans="2:14" outlineLevel="1" x14ac:dyDescent="0.15">
      <c r="B168" s="8"/>
      <c r="G168" s="1080"/>
      <c r="H168" s="1080"/>
      <c r="I168" s="1080"/>
      <c r="J168" s="1080"/>
      <c r="K168" s="1080"/>
      <c r="L168" s="1080"/>
      <c r="M168" s="1080"/>
    </row>
    <row r="169" spans="2:14" ht="16" outlineLevel="1" x14ac:dyDescent="0.2">
      <c r="B169" s="5" t="s">
        <v>1003</v>
      </c>
      <c r="G169" s="1080"/>
      <c r="H169" s="1080"/>
      <c r="I169" s="1080"/>
      <c r="J169" s="1080"/>
      <c r="K169" s="1080"/>
      <c r="L169" s="1080"/>
      <c r="M169" s="1080"/>
    </row>
    <row r="170" spans="2:14" outlineLevel="1" x14ac:dyDescent="0.15">
      <c r="B170" s="8" t="s">
        <v>1623</v>
      </c>
      <c r="G170" s="1080">
        <f t="shared" ref="G170:M170" ca="1" si="61">G95/G$100</f>
        <v>0.61519707096778153</v>
      </c>
      <c r="H170" s="1080">
        <f t="shared" ca="1" si="61"/>
        <v>0.61519707096778153</v>
      </c>
      <c r="I170" s="1080">
        <f t="shared" ca="1" si="61"/>
        <v>0.61519707096778153</v>
      </c>
      <c r="J170" s="1080">
        <f t="shared" ca="1" si="61"/>
        <v>0.61519707096778153</v>
      </c>
      <c r="K170" s="1080">
        <f t="shared" ca="1" si="61"/>
        <v>0.61519707096778153</v>
      </c>
      <c r="L170" s="1080">
        <f t="shared" ca="1" si="61"/>
        <v>0.61519707096778153</v>
      </c>
      <c r="M170" s="1080">
        <f t="shared" ca="1" si="61"/>
        <v>0.61519707096778153</v>
      </c>
    </row>
    <row r="171" spans="2:14" outlineLevel="1" x14ac:dyDescent="0.15">
      <c r="B171" s="8" t="s">
        <v>1651</v>
      </c>
      <c r="G171" s="1080">
        <f t="shared" ref="G171:M171" ca="1" si="62">G96/G$100</f>
        <v>0.11698399187395325</v>
      </c>
      <c r="H171" s="1080">
        <f t="shared" ca="1" si="62"/>
        <v>0.11698399187395325</v>
      </c>
      <c r="I171" s="1080">
        <f t="shared" ca="1" si="62"/>
        <v>0.11698399187395325</v>
      </c>
      <c r="J171" s="1080">
        <f t="shared" ca="1" si="62"/>
        <v>0.11698399187395325</v>
      </c>
      <c r="K171" s="1080">
        <f t="shared" ca="1" si="62"/>
        <v>0.11698399187395325</v>
      </c>
      <c r="L171" s="1080">
        <f t="shared" ca="1" si="62"/>
        <v>0.11698399187395325</v>
      </c>
      <c r="M171" s="1080">
        <f t="shared" ca="1" si="62"/>
        <v>0.11698399187395325</v>
      </c>
    </row>
    <row r="172" spans="2:14" outlineLevel="1" x14ac:dyDescent="0.15">
      <c r="B172" s="8" t="s">
        <v>1657</v>
      </c>
      <c r="G172" s="1080">
        <f t="shared" ref="G172:M172" ca="1" si="63">G97/G$100</f>
        <v>0.14108976011609509</v>
      </c>
      <c r="H172" s="1080">
        <f t="shared" ca="1" si="63"/>
        <v>0.14108976011609509</v>
      </c>
      <c r="I172" s="1080">
        <f t="shared" ca="1" si="63"/>
        <v>0.14108976011609509</v>
      </c>
      <c r="J172" s="1080">
        <f t="shared" ca="1" si="63"/>
        <v>0.14108976011609509</v>
      </c>
      <c r="K172" s="1080">
        <f t="shared" ca="1" si="63"/>
        <v>0.14108976011609509</v>
      </c>
      <c r="L172" s="1080">
        <f t="shared" ca="1" si="63"/>
        <v>0.14108976011609509</v>
      </c>
      <c r="M172" s="1080">
        <f t="shared" ca="1" si="63"/>
        <v>0.14108976011609509</v>
      </c>
    </row>
    <row r="173" spans="2:14" outlineLevel="1" x14ac:dyDescent="0.15">
      <c r="B173" s="8" t="s">
        <v>1661</v>
      </c>
      <c r="G173" s="1080">
        <f t="shared" ref="G173:M173" ca="1" si="64">G98/G$100</f>
        <v>2.8823013002697049E-2</v>
      </c>
      <c r="H173" s="1080">
        <f t="shared" ca="1" si="64"/>
        <v>2.8823013002697049E-2</v>
      </c>
      <c r="I173" s="1080">
        <f t="shared" ca="1" si="64"/>
        <v>2.8823013002697049E-2</v>
      </c>
      <c r="J173" s="1080">
        <f t="shared" ca="1" si="64"/>
        <v>2.8823013002697049E-2</v>
      </c>
      <c r="K173" s="1080">
        <f t="shared" ca="1" si="64"/>
        <v>2.8823013002697049E-2</v>
      </c>
      <c r="L173" s="1080">
        <f t="shared" ca="1" si="64"/>
        <v>2.8823013002697049E-2</v>
      </c>
      <c r="M173" s="1080">
        <f t="shared" ca="1" si="64"/>
        <v>2.8823013002697049E-2</v>
      </c>
    </row>
    <row r="174" spans="2:14" outlineLevel="1" x14ac:dyDescent="0.15">
      <c r="B174" s="8" t="s">
        <v>1662</v>
      </c>
      <c r="G174" s="1080">
        <f t="shared" ref="G174:M174" ca="1" si="65">G99/G$100</f>
        <v>9.7906164039472873E-2</v>
      </c>
      <c r="H174" s="1080">
        <f t="shared" ca="1" si="65"/>
        <v>9.7906164039472873E-2</v>
      </c>
      <c r="I174" s="1080">
        <f t="shared" ca="1" si="65"/>
        <v>9.7906164039472873E-2</v>
      </c>
      <c r="J174" s="1080">
        <f t="shared" ca="1" si="65"/>
        <v>9.7906164039472873E-2</v>
      </c>
      <c r="K174" s="1080">
        <f t="shared" ca="1" si="65"/>
        <v>9.7906164039472873E-2</v>
      </c>
      <c r="L174" s="1080">
        <f t="shared" ca="1" si="65"/>
        <v>9.7906164039472873E-2</v>
      </c>
      <c r="M174" s="1080">
        <f t="shared" ca="1" si="65"/>
        <v>9.7906164039472873E-2</v>
      </c>
    </row>
    <row r="175" spans="2:14" outlineLevel="1" x14ac:dyDescent="0.15">
      <c r="B175" s="8" t="s">
        <v>1663</v>
      </c>
      <c r="G175" s="1080">
        <f t="shared" ref="G175:M175" ca="1" si="66">G100/G$100</f>
        <v>1</v>
      </c>
      <c r="H175" s="1080">
        <f t="shared" ca="1" si="66"/>
        <v>1</v>
      </c>
      <c r="I175" s="1080">
        <f t="shared" ca="1" si="66"/>
        <v>1</v>
      </c>
      <c r="J175" s="1080">
        <f t="shared" ca="1" si="66"/>
        <v>1</v>
      </c>
      <c r="K175" s="1080">
        <f t="shared" ca="1" si="66"/>
        <v>1</v>
      </c>
      <c r="L175" s="1080">
        <f t="shared" ca="1" si="66"/>
        <v>1</v>
      </c>
      <c r="M175" s="1080">
        <f t="shared" ca="1" si="66"/>
        <v>1</v>
      </c>
    </row>
    <row r="176" spans="2:14" ht="14" thickBot="1" x14ac:dyDescent="0.2"/>
    <row r="177" spans="2:15" ht="21" thickBot="1" x14ac:dyDescent="0.25">
      <c r="B177" s="1262" t="s">
        <v>1664</v>
      </c>
      <c r="C177" s="1263"/>
      <c r="D177" s="1263"/>
      <c r="E177" s="1263"/>
      <c r="F177" s="1263"/>
      <c r="G177" s="1263"/>
      <c r="H177" s="1263"/>
      <c r="I177" s="1263"/>
      <c r="J177" s="1263"/>
      <c r="K177" s="1263"/>
      <c r="L177" s="1263"/>
      <c r="M177" s="1264"/>
      <c r="N177" s="562"/>
    </row>
    <row r="178" spans="2:15" ht="16" x14ac:dyDescent="0.2">
      <c r="B178" s="208" t="str">
        <f>IF(_manufact_method=1,"","Warning: section only valid for manufacturing 'Method 1: Packs are produced at the SAME rate (GWh/year) as cells (default)'")</f>
        <v/>
      </c>
    </row>
    <row r="179" spans="2:15" ht="16" outlineLevel="1" x14ac:dyDescent="0.2">
      <c r="B179" s="5" t="s">
        <v>1665</v>
      </c>
      <c r="C179" s="26"/>
      <c r="D179" s="26"/>
      <c r="E179" s="26"/>
      <c r="F179" s="26"/>
      <c r="G179" s="1214"/>
      <c r="H179" s="1214"/>
      <c r="I179" s="1214"/>
      <c r="J179" s="1214"/>
      <c r="K179" s="1214"/>
      <c r="L179" s="1214"/>
      <c r="M179" s="1214"/>
    </row>
    <row r="180" spans="2:15" outlineLevel="1" x14ac:dyDescent="0.15">
      <c r="B180" t="s">
        <v>1666</v>
      </c>
      <c r="C180" s="26"/>
      <c r="D180" s="26"/>
      <c r="E180" s="26"/>
      <c r="F180" s="26"/>
      <c r="G180" s="367">
        <f>'Cost Input'!$F117</f>
        <v>1.0681440000000002</v>
      </c>
      <c r="H180" s="367">
        <f>'Cost Input'!$F117</f>
        <v>1.0681440000000002</v>
      </c>
      <c r="I180" s="367">
        <f>'Cost Input'!$F117</f>
        <v>1.0681440000000002</v>
      </c>
      <c r="J180" s="367">
        <f>'Cost Input'!$F117</f>
        <v>1.0681440000000002</v>
      </c>
      <c r="K180" s="367">
        <f>'Cost Input'!$F117</f>
        <v>1.0681440000000002</v>
      </c>
      <c r="L180" s="367">
        <f>'Cost Input'!$F117</f>
        <v>1.0681440000000002</v>
      </c>
      <c r="M180" s="367">
        <f>'Cost Input'!$F117</f>
        <v>1.0681440000000002</v>
      </c>
    </row>
    <row r="181" spans="2:15" outlineLevel="1" x14ac:dyDescent="0.15">
      <c r="B181" t="s">
        <v>1522</v>
      </c>
      <c r="C181" s="26"/>
      <c r="D181" s="26"/>
      <c r="E181" s="26"/>
      <c r="F181" s="26"/>
      <c r="G181" s="367">
        <f>'Cost Input'!$F118</f>
        <v>1.8664800000000001</v>
      </c>
      <c r="H181" s="367">
        <f>'Cost Input'!$F118</f>
        <v>1.8664800000000001</v>
      </c>
      <c r="I181" s="367">
        <f>'Cost Input'!$F118</f>
        <v>1.8664800000000001</v>
      </c>
      <c r="J181" s="367">
        <f>'Cost Input'!$F118</f>
        <v>1.8664800000000001</v>
      </c>
      <c r="K181" s="367">
        <f>'Cost Input'!$F118</f>
        <v>1.8664800000000001</v>
      </c>
      <c r="L181" s="367">
        <f>'Cost Input'!$F118</f>
        <v>1.8664800000000001</v>
      </c>
      <c r="M181" s="367">
        <f>'Cost Input'!$F118</f>
        <v>1.8664800000000001</v>
      </c>
      <c r="N181" s="562"/>
    </row>
    <row r="182" spans="2:15" outlineLevel="1" x14ac:dyDescent="0.15">
      <c r="B182" t="s">
        <v>1532</v>
      </c>
      <c r="G182" s="1034">
        <f>'Cost Input'!$F119</f>
        <v>0.23361189437406757</v>
      </c>
      <c r="H182" s="1034">
        <f>'Cost Input'!$F119</f>
        <v>0.23361189437406757</v>
      </c>
      <c r="I182" s="1034">
        <f>'Cost Input'!$F119</f>
        <v>0.23361189437406757</v>
      </c>
      <c r="J182" s="1034">
        <f>'Cost Input'!$F119</f>
        <v>0.23361189437406757</v>
      </c>
      <c r="K182" s="1034">
        <f>'Cost Input'!$F119</f>
        <v>0.23361189437406757</v>
      </c>
      <c r="L182" s="1034">
        <f>'Cost Input'!$F119</f>
        <v>0.23361189437406757</v>
      </c>
      <c r="M182" s="1034">
        <f>'Cost Input'!$F119</f>
        <v>0.23361189437406757</v>
      </c>
    </row>
    <row r="183" spans="2:15" outlineLevel="1" x14ac:dyDescent="0.15">
      <c r="B183" t="s">
        <v>1534</v>
      </c>
      <c r="G183" s="33">
        <f>'Cost Input'!$F$120</f>
        <v>0.18092513999999998</v>
      </c>
      <c r="H183" s="33">
        <f>'Cost Input'!$F$120</f>
        <v>0.18092513999999998</v>
      </c>
      <c r="I183" s="33">
        <f>'Cost Input'!$F$120</f>
        <v>0.18092513999999998</v>
      </c>
      <c r="J183" s="33">
        <f>'Cost Input'!$F$120</f>
        <v>0.18092513999999998</v>
      </c>
      <c r="K183" s="33">
        <f>'Cost Input'!$F$120</f>
        <v>0.18092513999999998</v>
      </c>
      <c r="L183" s="33">
        <f>'Cost Input'!$F$120</f>
        <v>0.18092513999999998</v>
      </c>
      <c r="M183" s="33">
        <f>'Cost Input'!$F$120</f>
        <v>0.18092513999999998</v>
      </c>
      <c r="O183" s="62"/>
    </row>
    <row r="184" spans="2:15" outlineLevel="1" x14ac:dyDescent="0.15">
      <c r="B184" s="8" t="s">
        <v>1537</v>
      </c>
      <c r="G184" s="33">
        <f>'Cost Input'!$F$121</f>
        <v>1.07118</v>
      </c>
      <c r="H184" s="33">
        <f>'Cost Input'!$F$121</f>
        <v>1.07118</v>
      </c>
      <c r="I184" s="33">
        <f>'Cost Input'!$F$121</f>
        <v>1.07118</v>
      </c>
      <c r="J184" s="33">
        <f>'Cost Input'!$F$121</f>
        <v>1.07118</v>
      </c>
      <c r="K184" s="33">
        <f>'Cost Input'!$F$121</f>
        <v>1.07118</v>
      </c>
      <c r="L184" s="33">
        <f>'Cost Input'!$F$121</f>
        <v>1.07118</v>
      </c>
      <c r="M184" s="33">
        <f>'Cost Input'!$F$121</f>
        <v>1.07118</v>
      </c>
      <c r="O184" s="62"/>
    </row>
    <row r="185" spans="2:15" outlineLevel="1" x14ac:dyDescent="0.15">
      <c r="C185" s="26"/>
      <c r="D185" s="26"/>
      <c r="E185" s="26"/>
      <c r="F185" s="26"/>
      <c r="G185" s="367"/>
      <c r="H185" s="367"/>
      <c r="I185" s="367"/>
      <c r="J185" s="367"/>
      <c r="K185" s="367"/>
      <c r="L185" s="367"/>
      <c r="M185" s="367"/>
      <c r="N185" s="562"/>
    </row>
    <row r="186" spans="2:15" ht="16" outlineLevel="1" x14ac:dyDescent="0.2">
      <c r="B186" s="5" t="s">
        <v>1667</v>
      </c>
    </row>
    <row r="187" spans="2:15" ht="14" outlineLevel="1" x14ac:dyDescent="0.15">
      <c r="B187" s="507" t="s">
        <v>1540</v>
      </c>
    </row>
    <row r="188" spans="2:15" outlineLevel="1" x14ac:dyDescent="0.15">
      <c r="B188" s="8" t="s">
        <v>1494</v>
      </c>
      <c r="G188" s="815">
        <f t="shared" ref="G188:M197" ca="1" si="67">G30*G$180</f>
        <v>5380.0731893904149</v>
      </c>
      <c r="H188" s="815">
        <f t="shared" ca="1" si="67"/>
        <v>5380.0731893904149</v>
      </c>
      <c r="I188" s="815">
        <f t="shared" ca="1" si="67"/>
        <v>5380.0731893904149</v>
      </c>
      <c r="J188" s="815">
        <f t="shared" ca="1" si="67"/>
        <v>5380.0731893904149</v>
      </c>
      <c r="K188" s="815">
        <f t="shared" ca="1" si="67"/>
        <v>5380.0731893904149</v>
      </c>
      <c r="L188" s="815">
        <f t="shared" ca="1" si="67"/>
        <v>5380.0731893904149</v>
      </c>
      <c r="M188" s="815">
        <f t="shared" ca="1" si="67"/>
        <v>5380.0731893904149</v>
      </c>
    </row>
    <row r="189" spans="2:15" outlineLevel="1" x14ac:dyDescent="0.15">
      <c r="B189" s="8" t="s">
        <v>1495</v>
      </c>
      <c r="G189" s="815">
        <f t="shared" ca="1" si="67"/>
        <v>923.6413973831003</v>
      </c>
      <c r="H189" s="815">
        <f t="shared" ca="1" si="67"/>
        <v>923.6413973831003</v>
      </c>
      <c r="I189" s="815">
        <f t="shared" ca="1" si="67"/>
        <v>923.6413973831003</v>
      </c>
      <c r="J189" s="815">
        <f t="shared" ca="1" si="67"/>
        <v>923.6413973831003</v>
      </c>
      <c r="K189" s="815">
        <f t="shared" ca="1" si="67"/>
        <v>923.6413973831003</v>
      </c>
      <c r="L189" s="815">
        <f t="shared" ca="1" si="67"/>
        <v>923.6413973831003</v>
      </c>
      <c r="M189" s="815">
        <f t="shared" ca="1" si="67"/>
        <v>923.6413973831003</v>
      </c>
    </row>
    <row r="190" spans="2:15" outlineLevel="1" x14ac:dyDescent="0.15">
      <c r="B190" s="8" t="s">
        <v>767</v>
      </c>
      <c r="G190" s="815">
        <f t="shared" ca="1" si="67"/>
        <v>66.662379034436981</v>
      </c>
      <c r="H190" s="815">
        <f t="shared" ca="1" si="67"/>
        <v>66.662379034436981</v>
      </c>
      <c r="I190" s="815">
        <f t="shared" ca="1" si="67"/>
        <v>66.662379034436981</v>
      </c>
      <c r="J190" s="815">
        <f t="shared" ca="1" si="67"/>
        <v>66.662379034436981</v>
      </c>
      <c r="K190" s="815">
        <f t="shared" ca="1" si="67"/>
        <v>66.662379034436981</v>
      </c>
      <c r="L190" s="815">
        <f t="shared" ca="1" si="67"/>
        <v>66.662379034436981</v>
      </c>
      <c r="M190" s="815">
        <f t="shared" ca="1" si="67"/>
        <v>66.662379034436981</v>
      </c>
    </row>
    <row r="191" spans="2:15" outlineLevel="1" x14ac:dyDescent="0.15">
      <c r="B191" s="8" t="s">
        <v>1496</v>
      </c>
      <c r="G191" s="815">
        <f t="shared" ca="1" si="67"/>
        <v>76.769124512496802</v>
      </c>
      <c r="H191" s="815">
        <f t="shared" ca="1" si="67"/>
        <v>76.769124512496802</v>
      </c>
      <c r="I191" s="815">
        <f t="shared" ca="1" si="67"/>
        <v>76.769124512496802</v>
      </c>
      <c r="J191" s="815">
        <f t="shared" ca="1" si="67"/>
        <v>76.769124512496802</v>
      </c>
      <c r="K191" s="815">
        <f t="shared" ca="1" si="67"/>
        <v>76.769124512496802</v>
      </c>
      <c r="L191" s="815">
        <f t="shared" ca="1" si="67"/>
        <v>76.769124512496802</v>
      </c>
      <c r="M191" s="815">
        <f t="shared" ca="1" si="67"/>
        <v>76.769124512496802</v>
      </c>
    </row>
    <row r="192" spans="2:15" outlineLevel="1" x14ac:dyDescent="0.15">
      <c r="B192" s="8" t="s">
        <v>1497</v>
      </c>
      <c r="G192" s="815">
        <f t="shared" ca="1" si="67"/>
        <v>159.5189854370785</v>
      </c>
      <c r="H192" s="815">
        <f t="shared" ca="1" si="67"/>
        <v>159.5189854370785</v>
      </c>
      <c r="I192" s="815">
        <f t="shared" ca="1" si="67"/>
        <v>159.5189854370785</v>
      </c>
      <c r="J192" s="815">
        <f t="shared" ca="1" si="67"/>
        <v>159.5189854370785</v>
      </c>
      <c r="K192" s="815">
        <f t="shared" ca="1" si="67"/>
        <v>159.5189854370785</v>
      </c>
      <c r="L192" s="815">
        <f t="shared" ca="1" si="67"/>
        <v>159.5189854370785</v>
      </c>
      <c r="M192" s="815">
        <f t="shared" ca="1" si="67"/>
        <v>159.5189854370785</v>
      </c>
    </row>
    <row r="193" spans="2:13" outlineLevel="1" x14ac:dyDescent="0.15">
      <c r="B193" s="8" t="s">
        <v>1498</v>
      </c>
      <c r="G193" s="815">
        <f t="shared" ca="1" si="67"/>
        <v>65.696544288916996</v>
      </c>
      <c r="H193" s="815">
        <f t="shared" ca="1" si="67"/>
        <v>65.696544288916996</v>
      </c>
      <c r="I193" s="815">
        <f t="shared" ca="1" si="67"/>
        <v>65.696544288916996</v>
      </c>
      <c r="J193" s="815">
        <f t="shared" ca="1" si="67"/>
        <v>65.696544288916996</v>
      </c>
      <c r="K193" s="815">
        <f t="shared" ca="1" si="67"/>
        <v>65.696544288916996</v>
      </c>
      <c r="L193" s="815">
        <f t="shared" ca="1" si="67"/>
        <v>65.696544288916996</v>
      </c>
      <c r="M193" s="815">
        <f t="shared" ca="1" si="67"/>
        <v>65.696544288916996</v>
      </c>
    </row>
    <row r="194" spans="2:13" outlineLevel="1" x14ac:dyDescent="0.15">
      <c r="B194" s="8" t="s">
        <v>1499</v>
      </c>
      <c r="G194" s="815">
        <f t="shared" ca="1" si="67"/>
        <v>418.17003695174242</v>
      </c>
      <c r="H194" s="815">
        <f t="shared" ca="1" si="67"/>
        <v>418.17003695174242</v>
      </c>
      <c r="I194" s="815">
        <f t="shared" ca="1" si="67"/>
        <v>418.17003695174242</v>
      </c>
      <c r="J194" s="815">
        <f t="shared" ca="1" si="67"/>
        <v>418.17003695174242</v>
      </c>
      <c r="K194" s="815">
        <f t="shared" ca="1" si="67"/>
        <v>418.17003695174242</v>
      </c>
      <c r="L194" s="815">
        <f t="shared" ca="1" si="67"/>
        <v>418.17003695174242</v>
      </c>
      <c r="M194" s="815">
        <f t="shared" ca="1" si="67"/>
        <v>418.17003695174242</v>
      </c>
    </row>
    <row r="195" spans="2:13" outlineLevel="1" x14ac:dyDescent="0.15">
      <c r="B195" s="8" t="s">
        <v>1500</v>
      </c>
      <c r="G195" s="815">
        <f t="shared" ca="1" si="67"/>
        <v>497.82926165347294</v>
      </c>
      <c r="H195" s="815">
        <f t="shared" ca="1" si="67"/>
        <v>497.82926165347294</v>
      </c>
      <c r="I195" s="815">
        <f t="shared" ca="1" si="67"/>
        <v>497.82926165347294</v>
      </c>
      <c r="J195" s="815">
        <f t="shared" ca="1" si="67"/>
        <v>497.82926165347294</v>
      </c>
      <c r="K195" s="815">
        <f t="shared" ca="1" si="67"/>
        <v>497.82926165347294</v>
      </c>
      <c r="L195" s="815">
        <f t="shared" ca="1" si="67"/>
        <v>497.82926165347294</v>
      </c>
      <c r="M195" s="815">
        <f t="shared" ca="1" si="67"/>
        <v>497.82926165347294</v>
      </c>
    </row>
    <row r="196" spans="2:13" outlineLevel="1" x14ac:dyDescent="0.15">
      <c r="B196" s="8" t="s">
        <v>821</v>
      </c>
      <c r="G196" s="815">
        <f t="shared" ca="1" si="67"/>
        <v>490.7801023554473</v>
      </c>
      <c r="H196" s="815">
        <f t="shared" ca="1" si="67"/>
        <v>490.7801023554473</v>
      </c>
      <c r="I196" s="815">
        <f t="shared" ca="1" si="67"/>
        <v>490.7801023554473</v>
      </c>
      <c r="J196" s="815">
        <f t="shared" ca="1" si="67"/>
        <v>490.7801023554473</v>
      </c>
      <c r="K196" s="815">
        <f t="shared" ca="1" si="67"/>
        <v>490.7801023554473</v>
      </c>
      <c r="L196" s="815">
        <f t="shared" ca="1" si="67"/>
        <v>490.7801023554473</v>
      </c>
      <c r="M196" s="815">
        <f t="shared" ca="1" si="67"/>
        <v>490.7801023554473</v>
      </c>
    </row>
    <row r="197" spans="2:13" outlineLevel="1" x14ac:dyDescent="0.15">
      <c r="B197" s="8" t="s">
        <v>331</v>
      </c>
      <c r="G197" s="815">
        <f t="shared" ca="1" si="67"/>
        <v>0</v>
      </c>
      <c r="H197" s="815">
        <f t="shared" ca="1" si="67"/>
        <v>0</v>
      </c>
      <c r="I197" s="815">
        <f t="shared" ca="1" si="67"/>
        <v>0</v>
      </c>
      <c r="J197" s="815">
        <f t="shared" ca="1" si="67"/>
        <v>0</v>
      </c>
      <c r="K197" s="815">
        <f t="shared" ca="1" si="67"/>
        <v>0</v>
      </c>
      <c r="L197" s="815">
        <f t="shared" ca="1" si="67"/>
        <v>0</v>
      </c>
      <c r="M197" s="815">
        <f t="shared" ca="1" si="67"/>
        <v>0</v>
      </c>
    </row>
    <row r="198" spans="2:13" outlineLevel="1" x14ac:dyDescent="0.15">
      <c r="B198" s="8" t="s">
        <v>1507</v>
      </c>
      <c r="G198" s="815">
        <f ca="1">SUM(G188:G197)</f>
        <v>8079.1410210071072</v>
      </c>
      <c r="H198" s="815">
        <f t="shared" ref="H198:M198" ca="1" si="68">SUM(H188:H197)</f>
        <v>8079.1410210071072</v>
      </c>
      <c r="I198" s="815">
        <f t="shared" ca="1" si="68"/>
        <v>8079.1410210071072</v>
      </c>
      <c r="J198" s="815">
        <f t="shared" ca="1" si="68"/>
        <v>8079.1410210071072</v>
      </c>
      <c r="K198" s="815">
        <f t="shared" ca="1" si="68"/>
        <v>8079.1410210071072</v>
      </c>
      <c r="L198" s="815">
        <f t="shared" ca="1" si="68"/>
        <v>8079.1410210071072</v>
      </c>
      <c r="M198" s="815">
        <f t="shared" ca="1" si="68"/>
        <v>8079.1410210071072</v>
      </c>
    </row>
    <row r="199" spans="2:13" outlineLevel="1" x14ac:dyDescent="0.15">
      <c r="B199" s="8"/>
      <c r="G199" s="815"/>
      <c r="H199" s="815"/>
      <c r="I199" s="815"/>
      <c r="J199" s="815"/>
      <c r="K199" s="815"/>
      <c r="L199" s="815"/>
      <c r="M199" s="815"/>
    </row>
    <row r="200" spans="2:13" ht="14" outlineLevel="1" x14ac:dyDescent="0.15">
      <c r="B200" s="507" t="s">
        <v>1573</v>
      </c>
      <c r="C200" s="95"/>
      <c r="G200" s="815"/>
      <c r="H200" s="815"/>
      <c r="I200" s="815"/>
      <c r="J200" s="815"/>
      <c r="K200" s="815"/>
      <c r="L200" s="815"/>
      <c r="M200" s="815"/>
    </row>
    <row r="201" spans="2:13" outlineLevel="1" x14ac:dyDescent="0.15">
      <c r="B201" s="225" t="s">
        <v>1501</v>
      </c>
      <c r="C201" s="26"/>
      <c r="G201" s="815"/>
      <c r="H201" s="815"/>
      <c r="I201" s="815"/>
      <c r="J201" s="815"/>
      <c r="K201" s="815"/>
      <c r="L201" s="815"/>
      <c r="M201" s="815"/>
    </row>
    <row r="202" spans="2:13" outlineLevel="1" x14ac:dyDescent="0.15">
      <c r="B202" s="8" t="s">
        <v>1574</v>
      </c>
      <c r="C202" s="26"/>
      <c r="G202" s="815">
        <f ca="1">G44*G$180</f>
        <v>42.869597272177465</v>
      </c>
      <c r="H202" s="815">
        <f t="shared" ref="H202:M202" ca="1" si="69">H44*H$180</f>
        <v>42.869597272177465</v>
      </c>
      <c r="I202" s="815">
        <f t="shared" ca="1" si="69"/>
        <v>42.869597272177465</v>
      </c>
      <c r="J202" s="815">
        <f t="shared" ca="1" si="69"/>
        <v>42.869597272177465</v>
      </c>
      <c r="K202" s="815">
        <f t="shared" ca="1" si="69"/>
        <v>42.869597272177465</v>
      </c>
      <c r="L202" s="815">
        <f t="shared" ca="1" si="69"/>
        <v>42.869597272177465</v>
      </c>
      <c r="M202" s="815">
        <f t="shared" ca="1" si="69"/>
        <v>42.869597272177465</v>
      </c>
    </row>
    <row r="203" spans="2:13" outlineLevel="1" x14ac:dyDescent="0.15">
      <c r="B203" s="8" t="s">
        <v>1575</v>
      </c>
      <c r="C203" s="26"/>
      <c r="G203" s="815">
        <f t="shared" ref="G203:M203" ca="1" si="70">G45*G$180</f>
        <v>90.656314632029208</v>
      </c>
      <c r="H203" s="815">
        <f t="shared" ca="1" si="70"/>
        <v>90.656314632029208</v>
      </c>
      <c r="I203" s="815">
        <f t="shared" ca="1" si="70"/>
        <v>90.656314632029208</v>
      </c>
      <c r="J203" s="815">
        <f t="shared" ca="1" si="70"/>
        <v>90.656314632029208</v>
      </c>
      <c r="K203" s="815">
        <f t="shared" ca="1" si="70"/>
        <v>90.656314632029208</v>
      </c>
      <c r="L203" s="815">
        <f t="shared" ca="1" si="70"/>
        <v>90.656314632029208</v>
      </c>
      <c r="M203" s="815">
        <f t="shared" ca="1" si="70"/>
        <v>90.656314632029208</v>
      </c>
    </row>
    <row r="204" spans="2:13" outlineLevel="1" x14ac:dyDescent="0.15">
      <c r="B204" s="8" t="s">
        <v>1576</v>
      </c>
      <c r="C204" s="26"/>
      <c r="G204" s="815">
        <f t="shared" ref="G204:M204" ca="1" si="71">G46*G$180</f>
        <v>116.85170934113924</v>
      </c>
      <c r="H204" s="815">
        <f t="shared" ca="1" si="71"/>
        <v>116.85170934113924</v>
      </c>
      <c r="I204" s="815">
        <f t="shared" ca="1" si="71"/>
        <v>116.85170934113924</v>
      </c>
      <c r="J204" s="815">
        <f t="shared" ca="1" si="71"/>
        <v>116.85170934113924</v>
      </c>
      <c r="K204" s="815">
        <f t="shared" ca="1" si="71"/>
        <v>116.85170934113924</v>
      </c>
      <c r="L204" s="815">
        <f t="shared" ca="1" si="71"/>
        <v>116.85170934113924</v>
      </c>
      <c r="M204" s="815">
        <f t="shared" ca="1" si="71"/>
        <v>116.85170934113924</v>
      </c>
    </row>
    <row r="205" spans="2:13" outlineLevel="1" x14ac:dyDescent="0.15">
      <c r="B205" s="8" t="s">
        <v>1577</v>
      </c>
      <c r="C205" s="26"/>
      <c r="G205" s="815">
        <f t="shared" ref="G205:M205" ca="1" si="72">G47*G$180</f>
        <v>250.37762124534592</v>
      </c>
      <c r="H205" s="815">
        <f t="shared" ca="1" si="72"/>
        <v>250.37762124534592</v>
      </c>
      <c r="I205" s="815">
        <f t="shared" ca="1" si="72"/>
        <v>250.37762124534592</v>
      </c>
      <c r="J205" s="815">
        <f t="shared" ca="1" si="72"/>
        <v>250.37762124534592</v>
      </c>
      <c r="K205" s="815">
        <f t="shared" ca="1" si="72"/>
        <v>250.37762124534592</v>
      </c>
      <c r="L205" s="815">
        <f t="shared" ca="1" si="72"/>
        <v>250.37762124534592</v>
      </c>
      <c r="M205" s="815">
        <f t="shared" ca="1" si="72"/>
        <v>250.37762124534592</v>
      </c>
    </row>
    <row r="206" spans="2:13" outlineLevel="1" x14ac:dyDescent="0.15">
      <c r="B206" s="8"/>
      <c r="C206" s="26"/>
      <c r="G206" s="815"/>
      <c r="H206" s="815"/>
      <c r="I206" s="815"/>
      <c r="J206" s="815"/>
      <c r="K206" s="815"/>
      <c r="L206" s="815"/>
      <c r="M206" s="815"/>
    </row>
    <row r="207" spans="2:13" outlineLevel="1" x14ac:dyDescent="0.15">
      <c r="B207" s="1082" t="s">
        <v>1502</v>
      </c>
      <c r="C207" s="26"/>
      <c r="G207" s="815"/>
      <c r="H207" s="815"/>
      <c r="I207" s="815"/>
      <c r="J207" s="815"/>
      <c r="K207" s="815"/>
      <c r="L207" s="815"/>
      <c r="M207" s="815"/>
    </row>
    <row r="208" spans="2:13" outlineLevel="1" x14ac:dyDescent="0.15">
      <c r="B208" s="247" t="s">
        <v>1578</v>
      </c>
      <c r="C208" s="26"/>
      <c r="G208" s="815">
        <f t="shared" ref="G208:M208" ca="1" si="73">G50*G$180</f>
        <v>0</v>
      </c>
      <c r="H208" s="815">
        <f t="shared" ca="1" si="73"/>
        <v>0</v>
      </c>
      <c r="I208" s="815">
        <f t="shared" ca="1" si="73"/>
        <v>0</v>
      </c>
      <c r="J208" s="815">
        <f t="shared" ca="1" si="73"/>
        <v>0</v>
      </c>
      <c r="K208" s="815">
        <f t="shared" ca="1" si="73"/>
        <v>0</v>
      </c>
      <c r="L208" s="815">
        <f t="shared" ca="1" si="73"/>
        <v>0</v>
      </c>
      <c r="M208" s="815">
        <f t="shared" ca="1" si="73"/>
        <v>0</v>
      </c>
    </row>
    <row r="209" spans="2:13" outlineLevel="1" x14ac:dyDescent="0.15">
      <c r="B209" s="8" t="s">
        <v>1579</v>
      </c>
      <c r="C209" s="26"/>
      <c r="G209" s="815">
        <f t="shared" ref="G209:M209" ca="1" si="74">G51*G$180</f>
        <v>96.276752793592379</v>
      </c>
      <c r="H209" s="815">
        <f t="shared" ca="1" si="74"/>
        <v>96.276752793592379</v>
      </c>
      <c r="I209" s="815">
        <f t="shared" ca="1" si="74"/>
        <v>96.276752793592379</v>
      </c>
      <c r="J209" s="815">
        <f t="shared" ca="1" si="74"/>
        <v>96.276752793592379</v>
      </c>
      <c r="K209" s="815">
        <f t="shared" ca="1" si="74"/>
        <v>96.276752793592379</v>
      </c>
      <c r="L209" s="815">
        <f t="shared" ca="1" si="74"/>
        <v>96.276752793592379</v>
      </c>
      <c r="M209" s="815">
        <f t="shared" ca="1" si="74"/>
        <v>96.276752793592379</v>
      </c>
    </row>
    <row r="210" spans="2:13" outlineLevel="1" x14ac:dyDescent="0.15">
      <c r="B210" s="8" t="s">
        <v>1580</v>
      </c>
      <c r="C210" s="26"/>
      <c r="G210" s="815">
        <f t="shared" ref="G210:M210" ca="1" si="75">G52*G$180</f>
        <v>514.3408764787788</v>
      </c>
      <c r="H210" s="815">
        <f t="shared" ca="1" si="75"/>
        <v>514.3408764787788</v>
      </c>
      <c r="I210" s="815">
        <f t="shared" ca="1" si="75"/>
        <v>514.3408764787788</v>
      </c>
      <c r="J210" s="815">
        <f t="shared" ca="1" si="75"/>
        <v>514.3408764787788</v>
      </c>
      <c r="K210" s="815">
        <f t="shared" ca="1" si="75"/>
        <v>514.3408764787788</v>
      </c>
      <c r="L210" s="815">
        <f t="shared" ca="1" si="75"/>
        <v>514.3408764787788</v>
      </c>
      <c r="M210" s="815">
        <f t="shared" ca="1" si="75"/>
        <v>514.3408764787788</v>
      </c>
    </row>
    <row r="211" spans="2:13" outlineLevel="1" x14ac:dyDescent="0.15">
      <c r="B211" s="8" t="s">
        <v>1581</v>
      </c>
      <c r="C211" s="26"/>
      <c r="G211" s="815">
        <f t="shared" ref="G211:M211" ca="1" si="76">G53*G$180</f>
        <v>87.772368928801825</v>
      </c>
      <c r="H211" s="815">
        <f t="shared" ca="1" si="76"/>
        <v>87.772368928801825</v>
      </c>
      <c r="I211" s="815">
        <f t="shared" ca="1" si="76"/>
        <v>87.772368928801825</v>
      </c>
      <c r="J211" s="815">
        <f t="shared" ca="1" si="76"/>
        <v>87.772368928801825</v>
      </c>
      <c r="K211" s="815">
        <f t="shared" ca="1" si="76"/>
        <v>87.772368928801825</v>
      </c>
      <c r="L211" s="815">
        <f t="shared" ca="1" si="76"/>
        <v>87.772368928801825</v>
      </c>
      <c r="M211" s="815">
        <f t="shared" ca="1" si="76"/>
        <v>87.772368928801825</v>
      </c>
    </row>
    <row r="212" spans="2:13" outlineLevel="1" x14ac:dyDescent="0.15">
      <c r="B212" s="9" t="s">
        <v>1582</v>
      </c>
      <c r="C212" s="26"/>
      <c r="G212" s="815">
        <f t="shared" ref="G212:M212" ca="1" si="77">G54*G$180</f>
        <v>20.390712853755094</v>
      </c>
      <c r="H212" s="815">
        <f t="shared" ca="1" si="77"/>
        <v>20.390712853755094</v>
      </c>
      <c r="I212" s="815">
        <f t="shared" ca="1" si="77"/>
        <v>20.390712853755094</v>
      </c>
      <c r="J212" s="815">
        <f t="shared" ca="1" si="77"/>
        <v>20.390712853755094</v>
      </c>
      <c r="K212" s="815">
        <f t="shared" ca="1" si="77"/>
        <v>20.390712853755094</v>
      </c>
      <c r="L212" s="815">
        <f t="shared" ca="1" si="77"/>
        <v>20.390712853755094</v>
      </c>
      <c r="M212" s="815">
        <f t="shared" ca="1" si="77"/>
        <v>20.390712853755094</v>
      </c>
    </row>
    <row r="213" spans="2:13" outlineLevel="1" x14ac:dyDescent="0.15">
      <c r="B213" s="8" t="s">
        <v>1583</v>
      </c>
      <c r="C213" s="26"/>
      <c r="G213" s="815">
        <f t="shared" ref="G213:M213" ca="1" si="78">G55*G$180</f>
        <v>16.703668427039208</v>
      </c>
      <c r="H213" s="815">
        <f t="shared" ca="1" si="78"/>
        <v>16.703668427039208</v>
      </c>
      <c r="I213" s="815">
        <f t="shared" ca="1" si="78"/>
        <v>16.703668427039208</v>
      </c>
      <c r="J213" s="815">
        <f t="shared" ca="1" si="78"/>
        <v>16.703668427039208</v>
      </c>
      <c r="K213" s="815">
        <f t="shared" ca="1" si="78"/>
        <v>16.703668427039208</v>
      </c>
      <c r="L213" s="815">
        <f t="shared" ca="1" si="78"/>
        <v>16.703668427039208</v>
      </c>
      <c r="M213" s="815">
        <f t="shared" ca="1" si="78"/>
        <v>16.703668427039208</v>
      </c>
    </row>
    <row r="214" spans="2:13" outlineLevel="1" x14ac:dyDescent="0.15">
      <c r="B214" s="8" t="s">
        <v>1584</v>
      </c>
      <c r="C214" s="26"/>
      <c r="G214" s="815">
        <f t="shared" ref="G214:M214" ca="1" si="79">G56*G$180</f>
        <v>76.552581051742195</v>
      </c>
      <c r="H214" s="815">
        <f t="shared" ca="1" si="79"/>
        <v>76.552581051742195</v>
      </c>
      <c r="I214" s="815">
        <f t="shared" ca="1" si="79"/>
        <v>76.552581051742195</v>
      </c>
      <c r="J214" s="815">
        <f t="shared" ca="1" si="79"/>
        <v>76.552581051742195</v>
      </c>
      <c r="K214" s="815">
        <f t="shared" ca="1" si="79"/>
        <v>76.552581051742195</v>
      </c>
      <c r="L214" s="815">
        <f t="shared" ca="1" si="79"/>
        <v>76.552581051742195</v>
      </c>
      <c r="M214" s="815">
        <f t="shared" ca="1" si="79"/>
        <v>76.552581051742195</v>
      </c>
    </row>
    <row r="215" spans="2:13" outlineLevel="1" x14ac:dyDescent="0.15">
      <c r="B215" s="8" t="s">
        <v>1585</v>
      </c>
      <c r="C215" s="26"/>
      <c r="G215" s="815">
        <f t="shared" ref="G215:M215" si="80">G57*G$180</f>
        <v>10.681440000000002</v>
      </c>
      <c r="H215" s="815">
        <f t="shared" si="80"/>
        <v>10.681440000000002</v>
      </c>
      <c r="I215" s="815">
        <f t="shared" si="80"/>
        <v>10.681440000000002</v>
      </c>
      <c r="J215" s="815">
        <f t="shared" si="80"/>
        <v>10.681440000000002</v>
      </c>
      <c r="K215" s="815">
        <f t="shared" si="80"/>
        <v>10.681440000000002</v>
      </c>
      <c r="L215" s="815">
        <f t="shared" si="80"/>
        <v>10.681440000000002</v>
      </c>
      <c r="M215" s="815">
        <f t="shared" si="80"/>
        <v>10.681440000000002</v>
      </c>
    </row>
    <row r="216" spans="2:13" outlineLevel="1" x14ac:dyDescent="0.15">
      <c r="B216" s="247" t="s">
        <v>1586</v>
      </c>
      <c r="C216" s="26"/>
      <c r="G216" s="815">
        <f t="shared" ref="G216:M216" ca="1" si="81">G58*G$180</f>
        <v>822.71840053370943</v>
      </c>
      <c r="H216" s="815">
        <f t="shared" ca="1" si="81"/>
        <v>822.71840053370943</v>
      </c>
      <c r="I216" s="815">
        <f t="shared" ca="1" si="81"/>
        <v>822.71840053370943</v>
      </c>
      <c r="J216" s="815">
        <f t="shared" ca="1" si="81"/>
        <v>822.71840053370943</v>
      </c>
      <c r="K216" s="815">
        <f t="shared" ca="1" si="81"/>
        <v>822.71840053370943</v>
      </c>
      <c r="L216" s="815">
        <f t="shared" ca="1" si="81"/>
        <v>822.71840053370943</v>
      </c>
      <c r="M216" s="815">
        <f t="shared" ca="1" si="81"/>
        <v>822.71840053370943</v>
      </c>
    </row>
    <row r="217" spans="2:13" outlineLevel="1" x14ac:dyDescent="0.15">
      <c r="B217" s="247"/>
      <c r="C217" s="26"/>
      <c r="G217" s="815"/>
      <c r="H217" s="815"/>
      <c r="I217" s="815"/>
      <c r="J217" s="815"/>
      <c r="K217" s="815"/>
      <c r="L217" s="815"/>
      <c r="M217" s="815"/>
    </row>
    <row r="218" spans="2:13" outlineLevel="1" x14ac:dyDescent="0.15">
      <c r="B218" s="1082" t="s">
        <v>1503</v>
      </c>
      <c r="C218" s="26"/>
      <c r="G218" s="815"/>
      <c r="H218" s="815"/>
      <c r="I218" s="815"/>
      <c r="J218" s="815"/>
      <c r="K218" s="815"/>
      <c r="L218" s="815"/>
      <c r="M218" s="815"/>
    </row>
    <row r="219" spans="2:13" outlineLevel="1" x14ac:dyDescent="0.15">
      <c r="B219" s="247" t="s">
        <v>1587</v>
      </c>
      <c r="C219" s="26"/>
      <c r="G219" s="815">
        <f t="shared" ref="G219:M219" ca="1" si="82">G61*G$180</f>
        <v>0</v>
      </c>
      <c r="H219" s="815">
        <f t="shared" ca="1" si="82"/>
        <v>0</v>
      </c>
      <c r="I219" s="815">
        <f t="shared" ca="1" si="82"/>
        <v>0</v>
      </c>
      <c r="J219" s="815">
        <f t="shared" ca="1" si="82"/>
        <v>0</v>
      </c>
      <c r="K219" s="815">
        <f t="shared" ca="1" si="82"/>
        <v>0</v>
      </c>
      <c r="L219" s="815">
        <f t="shared" ca="1" si="82"/>
        <v>0</v>
      </c>
      <c r="M219" s="815">
        <f t="shared" ca="1" si="82"/>
        <v>0</v>
      </c>
    </row>
    <row r="220" spans="2:13" outlineLevel="1" x14ac:dyDescent="0.15">
      <c r="B220" s="9" t="s">
        <v>1588</v>
      </c>
      <c r="C220" s="26"/>
      <c r="G220" s="815">
        <f t="shared" ref="G220:M220" ca="1" si="83">G62*G$180</f>
        <v>74.236559902930509</v>
      </c>
      <c r="H220" s="815">
        <f t="shared" ca="1" si="83"/>
        <v>74.236559902930509</v>
      </c>
      <c r="I220" s="815">
        <f t="shared" ca="1" si="83"/>
        <v>74.236559902930509</v>
      </c>
      <c r="J220" s="815">
        <f t="shared" ca="1" si="83"/>
        <v>74.236559902930509</v>
      </c>
      <c r="K220" s="815">
        <f t="shared" ca="1" si="83"/>
        <v>74.236559902930509</v>
      </c>
      <c r="L220" s="815">
        <f t="shared" ca="1" si="83"/>
        <v>74.236559902930509</v>
      </c>
      <c r="M220" s="815">
        <f t="shared" ca="1" si="83"/>
        <v>74.236559902930509</v>
      </c>
    </row>
    <row r="221" spans="2:13" outlineLevel="1" x14ac:dyDescent="0.15">
      <c r="B221" s="8" t="s">
        <v>1146</v>
      </c>
      <c r="C221" s="26"/>
      <c r="G221" s="815">
        <f t="shared" ref="G221:M221" si="84">G63*G$180</f>
        <v>3.418060800000001</v>
      </c>
      <c r="H221" s="815">
        <f t="shared" si="84"/>
        <v>3.418060800000001</v>
      </c>
      <c r="I221" s="815">
        <f t="shared" si="84"/>
        <v>3.418060800000001</v>
      </c>
      <c r="J221" s="815">
        <f t="shared" si="84"/>
        <v>3.418060800000001</v>
      </c>
      <c r="K221" s="815">
        <f t="shared" si="84"/>
        <v>3.418060800000001</v>
      </c>
      <c r="L221" s="815">
        <f t="shared" si="84"/>
        <v>3.418060800000001</v>
      </c>
      <c r="M221" s="815">
        <f t="shared" si="84"/>
        <v>3.418060800000001</v>
      </c>
    </row>
    <row r="222" spans="2:13" outlineLevel="1" x14ac:dyDescent="0.15">
      <c r="B222" s="8" t="s">
        <v>1589</v>
      </c>
      <c r="C222" s="26"/>
      <c r="G222" s="815">
        <f t="shared" ref="G222:M222" ca="1" si="85">G64*G$180</f>
        <v>20.5297537747951</v>
      </c>
      <c r="H222" s="815">
        <f t="shared" ca="1" si="85"/>
        <v>20.5297537747951</v>
      </c>
      <c r="I222" s="815">
        <f t="shared" ca="1" si="85"/>
        <v>20.5297537747951</v>
      </c>
      <c r="J222" s="815">
        <f t="shared" ca="1" si="85"/>
        <v>20.5297537747951</v>
      </c>
      <c r="K222" s="815">
        <f t="shared" ca="1" si="85"/>
        <v>20.5297537747951</v>
      </c>
      <c r="L222" s="815">
        <f t="shared" ca="1" si="85"/>
        <v>20.5297537747951</v>
      </c>
      <c r="M222" s="815">
        <f t="shared" ca="1" si="85"/>
        <v>20.5297537747951</v>
      </c>
    </row>
    <row r="223" spans="2:13" outlineLevel="1" x14ac:dyDescent="0.15">
      <c r="B223" s="8" t="s">
        <v>1148</v>
      </c>
      <c r="C223" s="26"/>
      <c r="G223" s="815">
        <f t="shared" ref="G223:M223" ca="1" si="86">G65*G$180</f>
        <v>10.446893573708552</v>
      </c>
      <c r="H223" s="815">
        <f t="shared" ca="1" si="86"/>
        <v>10.446893573708552</v>
      </c>
      <c r="I223" s="815">
        <f t="shared" ca="1" si="86"/>
        <v>10.446893573708552</v>
      </c>
      <c r="J223" s="815">
        <f t="shared" ca="1" si="86"/>
        <v>10.446893573708552</v>
      </c>
      <c r="K223" s="815">
        <f t="shared" ca="1" si="86"/>
        <v>10.446893573708552</v>
      </c>
      <c r="L223" s="815">
        <f t="shared" ca="1" si="86"/>
        <v>10.446893573708552</v>
      </c>
      <c r="M223" s="815">
        <f t="shared" ca="1" si="86"/>
        <v>10.446893573708552</v>
      </c>
    </row>
    <row r="224" spans="2:13" outlineLevel="1" x14ac:dyDescent="0.15">
      <c r="B224" s="8" t="s">
        <v>1590</v>
      </c>
      <c r="C224" s="26"/>
      <c r="G224" s="815">
        <f t="shared" ref="G224:M224" ca="1" si="87">G66*G$180</f>
        <v>60.966766453178522</v>
      </c>
      <c r="H224" s="815">
        <f t="shared" ca="1" si="87"/>
        <v>60.966766453178522</v>
      </c>
      <c r="I224" s="815">
        <f t="shared" ca="1" si="87"/>
        <v>60.966766453178522</v>
      </c>
      <c r="J224" s="815">
        <f t="shared" ca="1" si="87"/>
        <v>60.966766453178522</v>
      </c>
      <c r="K224" s="815">
        <f t="shared" ca="1" si="87"/>
        <v>60.966766453178522</v>
      </c>
      <c r="L224" s="815">
        <f t="shared" ca="1" si="87"/>
        <v>60.966766453178522</v>
      </c>
      <c r="M224" s="815">
        <f t="shared" ca="1" si="87"/>
        <v>60.966766453178522</v>
      </c>
    </row>
    <row r="225" spans="2:13" outlineLevel="1" x14ac:dyDescent="0.15">
      <c r="B225" s="8" t="s">
        <v>1150</v>
      </c>
      <c r="C225" s="26"/>
      <c r="G225" s="815">
        <f t="shared" ref="G225:M225" ca="1" si="88">G67*G$180</f>
        <v>9.8673766968996866</v>
      </c>
      <c r="H225" s="815">
        <f t="shared" ca="1" si="88"/>
        <v>9.8673766968996866</v>
      </c>
      <c r="I225" s="815">
        <f t="shared" ca="1" si="88"/>
        <v>9.8673766968996866</v>
      </c>
      <c r="J225" s="815">
        <f t="shared" ca="1" si="88"/>
        <v>9.8673766968996866</v>
      </c>
      <c r="K225" s="815">
        <f t="shared" ca="1" si="88"/>
        <v>9.8673766968996866</v>
      </c>
      <c r="L225" s="815">
        <f t="shared" ca="1" si="88"/>
        <v>9.8673766968996866</v>
      </c>
      <c r="M225" s="815">
        <f t="shared" ca="1" si="88"/>
        <v>9.8673766968996866</v>
      </c>
    </row>
    <row r="226" spans="2:13" outlineLevel="1" x14ac:dyDescent="0.15">
      <c r="B226" s="8" t="s">
        <v>1151</v>
      </c>
      <c r="C226" s="26"/>
      <c r="G226" s="815">
        <f t="shared" ref="G226:M226" ca="1" si="89">G68*G$180</f>
        <v>5.9690216287693536</v>
      </c>
      <c r="H226" s="815">
        <f t="shared" ca="1" si="89"/>
        <v>5.9690216287693536</v>
      </c>
      <c r="I226" s="815">
        <f t="shared" ca="1" si="89"/>
        <v>5.9690216287693536</v>
      </c>
      <c r="J226" s="815">
        <f t="shared" ca="1" si="89"/>
        <v>5.9690216287693536</v>
      </c>
      <c r="K226" s="815">
        <f t="shared" ca="1" si="89"/>
        <v>5.9690216287693536</v>
      </c>
      <c r="L226" s="815">
        <f t="shared" ca="1" si="89"/>
        <v>5.9690216287693536</v>
      </c>
      <c r="M226" s="815">
        <f t="shared" ca="1" si="89"/>
        <v>5.9690216287693536</v>
      </c>
    </row>
    <row r="227" spans="2:13" outlineLevel="1" x14ac:dyDescent="0.15">
      <c r="B227" s="8" t="s">
        <v>1591</v>
      </c>
      <c r="C227" s="26"/>
      <c r="G227" s="815">
        <f t="shared" ref="G227:M227" ca="1" si="90">G69*G$180</f>
        <v>24.369843072924262</v>
      </c>
      <c r="H227" s="815">
        <f t="shared" ca="1" si="90"/>
        <v>24.369843072924262</v>
      </c>
      <c r="I227" s="815">
        <f t="shared" ca="1" si="90"/>
        <v>24.369843072924262</v>
      </c>
      <c r="J227" s="815">
        <f t="shared" ca="1" si="90"/>
        <v>24.369843072924262</v>
      </c>
      <c r="K227" s="815">
        <f t="shared" ca="1" si="90"/>
        <v>24.369843072924262</v>
      </c>
      <c r="L227" s="815">
        <f t="shared" ca="1" si="90"/>
        <v>24.369843072924262</v>
      </c>
      <c r="M227" s="815">
        <f t="shared" ca="1" si="90"/>
        <v>24.369843072924262</v>
      </c>
    </row>
    <row r="228" spans="2:13" outlineLevel="1" x14ac:dyDescent="0.15">
      <c r="B228" s="8" t="s">
        <v>1592</v>
      </c>
      <c r="C228" s="26"/>
      <c r="G228" s="815">
        <f t="shared" ref="G228:M228" ca="1" si="91">G70*G$180</f>
        <v>126.56240982217381</v>
      </c>
      <c r="H228" s="815">
        <f t="shared" ca="1" si="91"/>
        <v>126.56240982217381</v>
      </c>
      <c r="I228" s="815">
        <f t="shared" ca="1" si="91"/>
        <v>126.56240982217381</v>
      </c>
      <c r="J228" s="815">
        <f t="shared" ca="1" si="91"/>
        <v>126.56240982217381</v>
      </c>
      <c r="K228" s="815">
        <f t="shared" ca="1" si="91"/>
        <v>126.56240982217381</v>
      </c>
      <c r="L228" s="815">
        <f t="shared" ca="1" si="91"/>
        <v>126.56240982217381</v>
      </c>
      <c r="M228" s="815">
        <f t="shared" ca="1" si="91"/>
        <v>126.56240982217381</v>
      </c>
    </row>
    <row r="229" spans="2:13" outlineLevel="1" x14ac:dyDescent="0.15">
      <c r="B229" s="8" t="s">
        <v>1155</v>
      </c>
      <c r="C229" s="26"/>
      <c r="G229" s="815">
        <f t="shared" ref="G229:M229" ca="1" si="92">G71*G$180</f>
        <v>20.027618496958944</v>
      </c>
      <c r="H229" s="815">
        <f t="shared" ca="1" si="92"/>
        <v>20.027618496958944</v>
      </c>
      <c r="I229" s="815">
        <f t="shared" ca="1" si="92"/>
        <v>20.027618496958944</v>
      </c>
      <c r="J229" s="815">
        <f t="shared" ca="1" si="92"/>
        <v>20.027618496958944</v>
      </c>
      <c r="K229" s="815">
        <f t="shared" ca="1" si="92"/>
        <v>20.027618496958944</v>
      </c>
      <c r="L229" s="815">
        <f t="shared" ca="1" si="92"/>
        <v>20.027618496958944</v>
      </c>
      <c r="M229" s="815">
        <f t="shared" ca="1" si="92"/>
        <v>20.027618496958944</v>
      </c>
    </row>
    <row r="230" spans="2:13" outlineLevel="1" x14ac:dyDescent="0.15">
      <c r="B230" s="8" t="s">
        <v>1156</v>
      </c>
      <c r="C230" s="26"/>
      <c r="G230" s="815">
        <f t="shared" ref="G230:M230" ca="1" si="93">G72*G$180</f>
        <v>85.451520000000016</v>
      </c>
      <c r="H230" s="815">
        <f t="shared" ca="1" si="93"/>
        <v>85.451520000000016</v>
      </c>
      <c r="I230" s="815">
        <f t="shared" ca="1" si="93"/>
        <v>85.451520000000016</v>
      </c>
      <c r="J230" s="815">
        <f t="shared" ca="1" si="93"/>
        <v>85.451520000000016</v>
      </c>
      <c r="K230" s="815">
        <f t="shared" ca="1" si="93"/>
        <v>85.451520000000016</v>
      </c>
      <c r="L230" s="815">
        <f t="shared" ca="1" si="93"/>
        <v>85.451520000000016</v>
      </c>
      <c r="M230" s="815">
        <f t="shared" ca="1" si="93"/>
        <v>85.451520000000016</v>
      </c>
    </row>
    <row r="231" spans="2:13" outlineLevel="1" x14ac:dyDescent="0.15">
      <c r="B231" s="8" t="s">
        <v>1157</v>
      </c>
      <c r="C231" s="26"/>
      <c r="G231" s="815">
        <f t="shared" ref="G231:M231" si="94">G73*G$180</f>
        <v>21.362880000000004</v>
      </c>
      <c r="H231" s="815">
        <f t="shared" si="94"/>
        <v>21.362880000000004</v>
      </c>
      <c r="I231" s="815">
        <f t="shared" si="94"/>
        <v>21.362880000000004</v>
      </c>
      <c r="J231" s="815">
        <f t="shared" si="94"/>
        <v>21.362880000000004</v>
      </c>
      <c r="K231" s="815">
        <f t="shared" si="94"/>
        <v>21.362880000000004</v>
      </c>
      <c r="L231" s="815">
        <f t="shared" si="94"/>
        <v>21.362880000000004</v>
      </c>
      <c r="M231" s="815">
        <f t="shared" si="94"/>
        <v>21.362880000000004</v>
      </c>
    </row>
    <row r="232" spans="2:13" outlineLevel="1" x14ac:dyDescent="0.15">
      <c r="B232" s="8" t="s">
        <v>1593</v>
      </c>
      <c r="C232" s="26"/>
      <c r="G232" s="815">
        <f t="shared" ref="G232:M232" ca="1" si="95">G74*G$180</f>
        <v>463.20870422233872</v>
      </c>
      <c r="H232" s="815">
        <f t="shared" ca="1" si="95"/>
        <v>463.20870422233872</v>
      </c>
      <c r="I232" s="815">
        <f t="shared" ca="1" si="95"/>
        <v>463.20870422233872</v>
      </c>
      <c r="J232" s="815">
        <f t="shared" ca="1" si="95"/>
        <v>463.20870422233872</v>
      </c>
      <c r="K232" s="815">
        <f t="shared" ca="1" si="95"/>
        <v>463.20870422233872</v>
      </c>
      <c r="L232" s="815">
        <f t="shared" ca="1" si="95"/>
        <v>463.20870422233872</v>
      </c>
      <c r="M232" s="815">
        <f t="shared" ca="1" si="95"/>
        <v>463.20870422233872</v>
      </c>
    </row>
    <row r="233" spans="2:13" outlineLevel="1" x14ac:dyDescent="0.15">
      <c r="B233" s="8"/>
      <c r="C233" s="26"/>
      <c r="G233" s="815"/>
      <c r="H233" s="815"/>
      <c r="I233" s="815"/>
      <c r="J233" s="815"/>
      <c r="K233" s="815"/>
      <c r="L233" s="815"/>
      <c r="M233" s="815"/>
    </row>
    <row r="234" spans="2:13" outlineLevel="1" x14ac:dyDescent="0.15">
      <c r="B234" s="1082" t="s">
        <v>1668</v>
      </c>
      <c r="C234" s="26"/>
      <c r="G234" s="815"/>
      <c r="H234" s="815"/>
      <c r="I234" s="815"/>
      <c r="J234" s="815"/>
      <c r="K234" s="815"/>
      <c r="L234" s="815"/>
      <c r="M234" s="815"/>
    </row>
    <row r="235" spans="2:13" outlineLevel="1" x14ac:dyDescent="0.15">
      <c r="B235" s="8" t="s">
        <v>1595</v>
      </c>
      <c r="C235" s="26"/>
      <c r="G235" s="815">
        <f t="shared" ref="G235:M235" ca="1" si="96">G77*G$180</f>
        <v>1536.3047260013941</v>
      </c>
      <c r="H235" s="815">
        <f t="shared" ca="1" si="96"/>
        <v>1536.3047260013941</v>
      </c>
      <c r="I235" s="815">
        <f t="shared" ca="1" si="96"/>
        <v>1536.3047260013941</v>
      </c>
      <c r="J235" s="815">
        <f t="shared" ca="1" si="96"/>
        <v>1536.3047260013941</v>
      </c>
      <c r="K235" s="815">
        <f t="shared" ca="1" si="96"/>
        <v>1536.3047260013941</v>
      </c>
      <c r="L235" s="815">
        <f t="shared" ca="1" si="96"/>
        <v>1536.3047260013941</v>
      </c>
      <c r="M235" s="815">
        <f t="shared" ca="1" si="96"/>
        <v>1536.3047260013941</v>
      </c>
    </row>
    <row r="236" spans="2:13" outlineLevel="1" x14ac:dyDescent="0.15">
      <c r="G236" s="815"/>
      <c r="H236" s="815"/>
      <c r="I236" s="815"/>
      <c r="J236" s="815"/>
      <c r="K236" s="815"/>
      <c r="L236" s="815"/>
      <c r="M236" s="815"/>
    </row>
    <row r="237" spans="2:13" ht="14" outlineLevel="1" x14ac:dyDescent="0.15">
      <c r="B237" s="507" t="s">
        <v>1669</v>
      </c>
      <c r="G237" s="815"/>
      <c r="H237" s="815"/>
      <c r="I237" s="815"/>
      <c r="J237" s="815"/>
      <c r="K237" s="815"/>
      <c r="L237" s="815"/>
      <c r="M237" s="815"/>
    </row>
    <row r="238" spans="2:13" outlineLevel="1" x14ac:dyDescent="0.15">
      <c r="B238" s="8" t="s">
        <v>1670</v>
      </c>
      <c r="G238" s="815">
        <f ca="1">SUM(G235,G198)</f>
        <v>9615.4457470085017</v>
      </c>
      <c r="H238" s="815">
        <f t="shared" ref="H238:M238" ca="1" si="97">SUM(H235,H198)</f>
        <v>9615.4457470085017</v>
      </c>
      <c r="I238" s="815">
        <f t="shared" ca="1" si="97"/>
        <v>9615.4457470085017</v>
      </c>
      <c r="J238" s="815">
        <f t="shared" ca="1" si="97"/>
        <v>9615.4457470085017</v>
      </c>
      <c r="K238" s="815">
        <f t="shared" ca="1" si="97"/>
        <v>9615.4457470085017</v>
      </c>
      <c r="L238" s="815">
        <f t="shared" ca="1" si="97"/>
        <v>9615.4457470085017</v>
      </c>
      <c r="M238" s="815">
        <f t="shared" ca="1" si="97"/>
        <v>9615.4457470085017</v>
      </c>
    </row>
    <row r="239" spans="2:13" outlineLevel="1" x14ac:dyDescent="0.15">
      <c r="B239" s="8"/>
      <c r="G239" s="815"/>
      <c r="H239" s="815"/>
      <c r="I239" s="815"/>
      <c r="J239" s="815"/>
      <c r="K239" s="815"/>
      <c r="L239" s="815"/>
      <c r="M239" s="815"/>
    </row>
    <row r="240" spans="2:13" ht="14" outlineLevel="1" x14ac:dyDescent="0.15">
      <c r="B240" s="507" t="s">
        <v>25</v>
      </c>
      <c r="G240" s="815"/>
      <c r="H240" s="815"/>
      <c r="I240" s="815"/>
      <c r="J240" s="815"/>
      <c r="K240" s="815"/>
      <c r="L240" s="815"/>
      <c r="M240" s="815"/>
    </row>
    <row r="241" spans="2:14" outlineLevel="1" x14ac:dyDescent="0.15">
      <c r="B241" s="8" t="s">
        <v>1504</v>
      </c>
      <c r="G241" s="815">
        <f t="shared" ref="G241:M241" ca="1" si="98">G90*G$180</f>
        <v>378.521286411174</v>
      </c>
      <c r="H241" s="815">
        <f t="shared" ca="1" si="98"/>
        <v>378.521286411174</v>
      </c>
      <c r="I241" s="815">
        <f t="shared" ca="1" si="98"/>
        <v>378.521286411174</v>
      </c>
      <c r="J241" s="815">
        <f t="shared" ca="1" si="98"/>
        <v>378.521286411174</v>
      </c>
      <c r="K241" s="815">
        <f t="shared" ca="1" si="98"/>
        <v>378.521286411174</v>
      </c>
      <c r="L241" s="815">
        <f t="shared" ca="1" si="98"/>
        <v>378.521286411174</v>
      </c>
      <c r="M241" s="815">
        <f t="shared" ca="1" si="98"/>
        <v>378.521286411174</v>
      </c>
    </row>
    <row r="242" spans="2:14" outlineLevel="1" x14ac:dyDescent="0.15">
      <c r="B242" s="8"/>
      <c r="G242" s="427"/>
      <c r="H242" s="427"/>
      <c r="I242" s="427"/>
      <c r="J242" s="427"/>
      <c r="K242" s="427"/>
      <c r="L242" s="427"/>
      <c r="M242" s="427"/>
    </row>
    <row r="243" spans="2:14" ht="16" outlineLevel="1" x14ac:dyDescent="0.2">
      <c r="B243" s="5" t="s">
        <v>1671</v>
      </c>
      <c r="C243" s="26"/>
      <c r="D243" s="26"/>
      <c r="E243" s="26"/>
      <c r="F243" s="26"/>
      <c r="G243" s="367"/>
      <c r="H243" s="367"/>
      <c r="I243" s="367"/>
      <c r="J243" s="367"/>
      <c r="K243" s="367"/>
      <c r="L243" s="367"/>
      <c r="M243" s="367"/>
      <c r="N243" s="562"/>
    </row>
    <row r="244" spans="2:14" ht="14" outlineLevel="1" x14ac:dyDescent="0.15">
      <c r="B244" s="507" t="s">
        <v>1169</v>
      </c>
      <c r="C244" s="8"/>
      <c r="D244" s="26"/>
      <c r="E244" s="26"/>
      <c r="F244" s="26"/>
      <c r="G244" s="367"/>
      <c r="H244" s="367"/>
      <c r="I244" s="367"/>
      <c r="J244" s="367"/>
      <c r="K244" s="367"/>
      <c r="L244" s="367"/>
      <c r="M244" s="367"/>
      <c r="N244" s="562"/>
    </row>
    <row r="245" spans="2:14" outlineLevel="1" x14ac:dyDescent="0.15">
      <c r="B245" s="225" t="s">
        <v>1672</v>
      </c>
      <c r="D245" s="26"/>
      <c r="E245" s="26"/>
      <c r="F245" s="26"/>
      <c r="G245" s="367"/>
      <c r="H245" s="367"/>
      <c r="I245" s="367"/>
      <c r="J245" s="367"/>
      <c r="K245" s="367"/>
      <c r="L245" s="367"/>
      <c r="M245" s="367"/>
      <c r="N245" s="562"/>
    </row>
    <row r="246" spans="2:14" outlineLevel="1" x14ac:dyDescent="0.15">
      <c r="C246" s="8" t="s">
        <v>1673</v>
      </c>
      <c r="D246" s="26"/>
      <c r="E246" s="26"/>
      <c r="F246" s="26"/>
      <c r="G246" s="815">
        <f ca="1">'Manufacturing Costs'!G196*'Cost Input'!$F$93*G$181/Dashboard!D$110*(1-Lists!$C$154)*(1-Lists!$D$154)</f>
        <v>23.448155328304441</v>
      </c>
      <c r="H246" s="815">
        <f ca="1">'Manufacturing Costs'!H196*'Cost Input'!$F$93*H$181/Dashboard!E$110*(1-Lists!$C$154)*(1-Lists!$D$154)</f>
        <v>23.448155328304441</v>
      </c>
      <c r="I246" s="815">
        <f ca="1">'Manufacturing Costs'!I196*'Cost Input'!$F$93*I$181/Dashboard!F$110*(1-Lists!$C$154)*(1-Lists!$D$154)</f>
        <v>23.448155328304441</v>
      </c>
      <c r="J246" s="815">
        <f ca="1">'Manufacturing Costs'!J196*'Cost Input'!$F$93*J$181/Dashboard!G$110*(1-Lists!$C$154)*(1-Lists!$D$154)</f>
        <v>23.448155328304441</v>
      </c>
      <c r="K246" s="815">
        <f ca="1">'Manufacturing Costs'!K196*'Cost Input'!$F$93*K$181/Dashboard!H$110*(1-Lists!$C$154)*(1-Lists!$D$154)</f>
        <v>23.448155328304441</v>
      </c>
      <c r="L246" s="815">
        <f ca="1">'Manufacturing Costs'!L196*'Cost Input'!$F$93*L$181/Dashboard!I$110*(1-Lists!$C$154)*(1-Lists!$D$154)</f>
        <v>23.448155328304441</v>
      </c>
      <c r="M246" s="815">
        <f ca="1">'Manufacturing Costs'!M196*'Cost Input'!$F$93*M$181/Dashboard!J$110*(1-Lists!$C$154)*(1-Lists!$D$154)</f>
        <v>23.448155328304441</v>
      </c>
      <c r="N246" s="562"/>
    </row>
    <row r="247" spans="2:14" outlineLevel="1" x14ac:dyDescent="0.15">
      <c r="C247" s="8" t="s">
        <v>1674</v>
      </c>
      <c r="D247" s="26"/>
      <c r="E247" s="26"/>
      <c r="F247" s="26"/>
      <c r="G247" s="815">
        <f ca="1">'Manufacturing Costs'!G197*1000000*G$182/Dashboard!D$110*(1-Lists!$C$154)*(1-Lists!$D$154)</f>
        <v>84.992156824301418</v>
      </c>
      <c r="H247" s="815">
        <f ca="1">'Manufacturing Costs'!H197*1000000*H$182/Dashboard!E$110*(1-Lists!$C$154)*(1-Lists!$D$154)</f>
        <v>84.992156824301418</v>
      </c>
      <c r="I247" s="815">
        <f ca="1">'Manufacturing Costs'!I197*1000000*I$182/Dashboard!F$110*(1-Lists!$C$154)*(1-Lists!$D$154)</f>
        <v>84.992156824301418</v>
      </c>
      <c r="J247" s="815">
        <f ca="1">'Manufacturing Costs'!J197*1000000*J$182/Dashboard!G$110*(1-Lists!$C$154)*(1-Lists!$D$154)</f>
        <v>84.992156824301418</v>
      </c>
      <c r="K247" s="815">
        <f ca="1">'Manufacturing Costs'!K197*1000000*K$182/Dashboard!H$110*(1-Lists!$C$154)*(1-Lists!$D$154)</f>
        <v>84.992156824301418</v>
      </c>
      <c r="L247" s="815">
        <f ca="1">'Manufacturing Costs'!L197*1000000*L$182/Dashboard!I$110*(1-Lists!$C$154)*(1-Lists!$D$154)</f>
        <v>84.992156824301418</v>
      </c>
      <c r="M247" s="815">
        <f ca="1">'Manufacturing Costs'!M197*1000000*M$182/Dashboard!J$110*(1-Lists!$C$154)*(1-Lists!$D$154)</f>
        <v>84.992156824301418</v>
      </c>
      <c r="N247" s="562"/>
    </row>
    <row r="248" spans="2:14" outlineLevel="1" x14ac:dyDescent="0.15">
      <c r="C248" s="8" t="s">
        <v>1675</v>
      </c>
      <c r="D248" s="26"/>
      <c r="E248" s="26"/>
      <c r="F248" s="26"/>
      <c r="G248" s="815">
        <f ca="1">'Manufacturing Costs'!G198*'Cost Input'!$F$84*G$183/Dashboard!D$110*(1-Lists!$C$154)</f>
        <v>3.7605465138834151</v>
      </c>
      <c r="H248" s="815">
        <f ca="1">'Manufacturing Costs'!H198*'Cost Input'!$F$84*H$183/Dashboard!E$110*(1-Lists!$C$154)*(1-Lists!$D$154)</f>
        <v>3.7605465138834151</v>
      </c>
      <c r="I248" s="815">
        <f ca="1">'Manufacturing Costs'!I198*'Cost Input'!$F$84*I$183/Dashboard!F$110*(1-Lists!$C$154)*(1-Lists!$D$154)</f>
        <v>3.7605465138834151</v>
      </c>
      <c r="J248" s="815">
        <f ca="1">'Manufacturing Costs'!J198*'Cost Input'!$F$84*J$183/Dashboard!G$110*(1-Lists!$C$154)*(1-Lists!$D$154)</f>
        <v>3.7605465138834151</v>
      </c>
      <c r="K248" s="815">
        <f ca="1">'Manufacturing Costs'!K198*'Cost Input'!$F$84*K$183/Dashboard!H$110*(1-Lists!$C$154)*(1-Lists!$D$154)</f>
        <v>3.7605465138834151</v>
      </c>
      <c r="L248" s="815">
        <f ca="1">'Manufacturing Costs'!L198*'Cost Input'!$F$84*L$183/Dashboard!I$110*(1-Lists!$C$154)*(1-Lists!$D$154)</f>
        <v>3.7605465138834151</v>
      </c>
      <c r="M248" s="815">
        <f ca="1">'Manufacturing Costs'!M198*'Cost Input'!$F$84*M$183/Dashboard!J$110*(1-Lists!$C$154)*(1-Lists!$D$154)</f>
        <v>3.7605465138834151</v>
      </c>
      <c r="N248" s="562"/>
    </row>
    <row r="249" spans="2:14" outlineLevel="1" x14ac:dyDescent="0.15">
      <c r="C249" s="8" t="s">
        <v>1536</v>
      </c>
      <c r="D249" s="26"/>
      <c r="E249" s="26"/>
      <c r="F249" s="26"/>
      <c r="G249" s="815">
        <f ca="1">'Manufacturing Costs'!G199*'Cost Input'!$F$81*24*'Cost Input'!$F$94*G$184/Dashboard!D$110*(1-Lists!$C$154)</f>
        <v>5.3285870578847145</v>
      </c>
      <c r="H249" s="815">
        <f ca="1">'Manufacturing Costs'!H199*'Cost Input'!$F$81*24*'Cost Input'!$F$94*H$184/Dashboard!E$110*(1-Lists!$C$154)</f>
        <v>5.3285870578847145</v>
      </c>
      <c r="I249" s="815">
        <f ca="1">'Manufacturing Costs'!I199*'Cost Input'!$F$81*24*'Cost Input'!$F$94*I$184/Dashboard!F$110*(1-Lists!$C$154)</f>
        <v>5.3285870578847145</v>
      </c>
      <c r="J249" s="815">
        <f ca="1">'Manufacturing Costs'!J199*'Cost Input'!$F$81*24*'Cost Input'!$F$94*J$184/Dashboard!G$110*(1-Lists!$C$154)</f>
        <v>5.3285870578847145</v>
      </c>
      <c r="K249" s="815">
        <f ca="1">'Manufacturing Costs'!K199*'Cost Input'!$F$81*24*'Cost Input'!$F$94*K$184/Dashboard!H$110*(1-Lists!$C$154)</f>
        <v>5.3285870578847145</v>
      </c>
      <c r="L249" s="815">
        <f ca="1">'Manufacturing Costs'!L199*'Cost Input'!$F$81*24*'Cost Input'!$F$94*L$184/Dashboard!I$110*(1-Lists!$C$154)</f>
        <v>5.3285870578847145</v>
      </c>
      <c r="M249" s="815">
        <f ca="1">'Manufacturing Costs'!M199*'Cost Input'!$F$81*24*'Cost Input'!$F$94*M$184/Dashboard!J$110*(1-Lists!$C$154)</f>
        <v>5.3285870578847145</v>
      </c>
      <c r="N249" s="562"/>
    </row>
    <row r="250" spans="2:14" outlineLevel="1" x14ac:dyDescent="0.15">
      <c r="C250" s="8" t="s">
        <v>1676</v>
      </c>
      <c r="D250" s="26"/>
      <c r="E250" s="26"/>
      <c r="F250" s="26"/>
      <c r="G250" s="815">
        <f ca="1">SUM(G246:G249)</f>
        <v>117.52944572437399</v>
      </c>
      <c r="H250" s="815">
        <f t="shared" ref="H250:M250" ca="1" si="99">SUM(H246:H249)</f>
        <v>117.52944572437399</v>
      </c>
      <c r="I250" s="815">
        <f t="shared" ca="1" si="99"/>
        <v>117.52944572437399</v>
      </c>
      <c r="J250" s="815">
        <f t="shared" ca="1" si="99"/>
        <v>117.52944572437399</v>
      </c>
      <c r="K250" s="815">
        <f t="shared" ca="1" si="99"/>
        <v>117.52944572437399</v>
      </c>
      <c r="L250" s="815">
        <f t="shared" ca="1" si="99"/>
        <v>117.52944572437399</v>
      </c>
      <c r="M250" s="815">
        <f t="shared" ca="1" si="99"/>
        <v>117.52944572437399</v>
      </c>
      <c r="N250" s="562"/>
    </row>
    <row r="251" spans="2:14" outlineLevel="1" x14ac:dyDescent="0.15">
      <c r="C251" s="8"/>
      <c r="D251" s="26"/>
      <c r="E251" s="26"/>
      <c r="F251" s="26"/>
      <c r="G251" s="367"/>
      <c r="H251" s="367"/>
      <c r="I251" s="367"/>
      <c r="J251" s="367"/>
      <c r="K251" s="367"/>
      <c r="L251" s="367"/>
      <c r="M251" s="367"/>
      <c r="N251" s="562"/>
    </row>
    <row r="252" spans="2:14" outlineLevel="1" x14ac:dyDescent="0.15">
      <c r="B252" s="225" t="s">
        <v>1677</v>
      </c>
      <c r="D252" s="26"/>
      <c r="E252" s="26"/>
      <c r="F252" s="26"/>
      <c r="G252" s="367"/>
      <c r="H252" s="367"/>
      <c r="I252" s="367"/>
      <c r="J252" s="367"/>
      <c r="K252" s="367"/>
      <c r="L252" s="367"/>
      <c r="M252" s="367"/>
      <c r="N252" s="562"/>
    </row>
    <row r="253" spans="2:14" outlineLevel="1" x14ac:dyDescent="0.15">
      <c r="C253" s="8" t="s">
        <v>1673</v>
      </c>
      <c r="D253" s="26"/>
      <c r="E253" s="26"/>
      <c r="F253" s="26"/>
      <c r="G253" s="815">
        <f ca="1">'Manufacturing Costs'!G203*'Cost Input'!$F$93*G$181/Dashboard!D$110*(1-Lists!$C$154)*(1-Lists!$D$154)</f>
        <v>20.875859940087199</v>
      </c>
      <c r="H253" s="815">
        <f ca="1">'Manufacturing Costs'!H203*'Cost Input'!$F$93*H$181/Dashboard!E$110*(1-Lists!$C$154)*(1-Lists!$D$154)</f>
        <v>20.875859940087199</v>
      </c>
      <c r="I253" s="815">
        <f ca="1">'Manufacturing Costs'!I203*'Cost Input'!$F$93*I$181/Dashboard!F$110*(1-Lists!$C$154)*(1-Lists!$D$154)</f>
        <v>20.875859940087199</v>
      </c>
      <c r="J253" s="815">
        <f ca="1">'Manufacturing Costs'!J203*'Cost Input'!$F$93*J$181/Dashboard!G$110*(1-Lists!$C$154)*(1-Lists!$D$154)</f>
        <v>20.875859940087199</v>
      </c>
      <c r="K253" s="815">
        <f ca="1">'Manufacturing Costs'!K203*'Cost Input'!$F$93*K$181/Dashboard!H$110*(1-Lists!$C$154)*(1-Lists!$D$154)</f>
        <v>20.875859940087199</v>
      </c>
      <c r="L253" s="815">
        <f ca="1">'Manufacturing Costs'!L203*'Cost Input'!$F$93*L$181/Dashboard!I$110*(1-Lists!$C$154)*(1-Lists!$D$154)</f>
        <v>20.875859940087199</v>
      </c>
      <c r="M253" s="815">
        <f ca="1">'Manufacturing Costs'!M203*'Cost Input'!$F$93*M$181/Dashboard!J$110*(1-Lists!$C$154)*(1-Lists!$D$154)</f>
        <v>20.875859940087199</v>
      </c>
      <c r="N253" s="562"/>
    </row>
    <row r="254" spans="2:14" outlineLevel="1" x14ac:dyDescent="0.15">
      <c r="C254" s="8" t="s">
        <v>1674</v>
      </c>
      <c r="D254" s="26"/>
      <c r="E254" s="26"/>
      <c r="F254" s="26"/>
      <c r="G254" s="815">
        <f ca="1">'Manufacturing Costs'!G204*1000000*G$182/Dashboard!D$110*(1-Lists!$C$154)*(1-Lists!$D$154)</f>
        <v>79.107871176836255</v>
      </c>
      <c r="H254" s="815">
        <f ca="1">'Manufacturing Costs'!H204*1000000*H$182/Dashboard!E$110*(1-Lists!$C$154)*(1-Lists!$D$154)</f>
        <v>79.107871176836255</v>
      </c>
      <c r="I254" s="815">
        <f ca="1">'Manufacturing Costs'!I204*1000000*I$182/Dashboard!F$110*(1-Lists!$C$154)*(1-Lists!$D$154)</f>
        <v>79.107871176836255</v>
      </c>
      <c r="J254" s="815">
        <f ca="1">'Manufacturing Costs'!J204*1000000*J$182/Dashboard!G$110*(1-Lists!$C$154)*(1-Lists!$D$154)</f>
        <v>79.107871176836255</v>
      </c>
      <c r="K254" s="815">
        <f ca="1">'Manufacturing Costs'!K204*1000000*K$182/Dashboard!H$110*(1-Lists!$C$154)*(1-Lists!$D$154)</f>
        <v>79.107871176836255</v>
      </c>
      <c r="L254" s="815">
        <f ca="1">'Manufacturing Costs'!L204*1000000*L$182/Dashboard!I$110*(1-Lists!$C$154)*(1-Lists!$D$154)</f>
        <v>79.107871176836255</v>
      </c>
      <c r="M254" s="815">
        <f ca="1">'Manufacturing Costs'!M204*1000000*M$182/Dashboard!J$110*(1-Lists!$C$154)*(1-Lists!$D$154)</f>
        <v>79.107871176836255</v>
      </c>
      <c r="N254" s="562"/>
    </row>
    <row r="255" spans="2:14" outlineLevel="1" x14ac:dyDescent="0.15">
      <c r="C255" s="8" t="s">
        <v>1675</v>
      </c>
      <c r="D255" s="26"/>
      <c r="E255" s="26"/>
      <c r="F255" s="26"/>
      <c r="G255" s="815">
        <f ca="1">'Manufacturing Costs'!G205*'Cost Input'!$F$84*G$183/Dashboard!D$110*(1-Lists!$C$154)*(1-Lists!$D$154)</f>
        <v>3.2407199950066929</v>
      </c>
      <c r="H255" s="815">
        <f ca="1">'Manufacturing Costs'!H205*'Cost Input'!$F$84*H$183/Dashboard!E$110*(1-Lists!$C$154)*(1-Lists!$D$154)</f>
        <v>3.2407199950066929</v>
      </c>
      <c r="I255" s="815">
        <f ca="1">'Manufacturing Costs'!I205*'Cost Input'!$F$84*I$183/Dashboard!F$110*(1-Lists!$C$154)*(1-Lists!$D$154)</f>
        <v>3.2407199950066929</v>
      </c>
      <c r="J255" s="815">
        <f ca="1">'Manufacturing Costs'!J205*'Cost Input'!$F$84*J$183/Dashboard!G$110*(1-Lists!$C$154)*(1-Lists!$D$154)</f>
        <v>3.2407199950066929</v>
      </c>
      <c r="K255" s="815">
        <f ca="1">'Manufacturing Costs'!K205*'Cost Input'!$F$84*K$183/Dashboard!H$110*(1-Lists!$C$154)*(1-Lists!$D$154)</f>
        <v>3.2407199950066929</v>
      </c>
      <c r="L255" s="815">
        <f ca="1">'Manufacturing Costs'!L205*'Cost Input'!$F$84*L$183/Dashboard!I$110*(1-Lists!$C$154)*(1-Lists!$D$154)</f>
        <v>3.2407199950066929</v>
      </c>
      <c r="M255" s="815">
        <f ca="1">'Manufacturing Costs'!M205*'Cost Input'!$F$84*M$183/Dashboard!J$110*(1-Lists!$C$154)*(1-Lists!$D$154)</f>
        <v>3.2407199950066929</v>
      </c>
      <c r="N255" s="562"/>
    </row>
    <row r="256" spans="2:14" outlineLevel="1" x14ac:dyDescent="0.15">
      <c r="C256" s="8" t="s">
        <v>1536</v>
      </c>
      <c r="D256" s="26"/>
      <c r="E256" s="26"/>
      <c r="F256" s="26"/>
      <c r="G256" s="815">
        <f ca="1">'Manufacturing Costs'!G206*'Cost Input'!$F$81*24*'Cost Input'!$F$94*G$184/Dashboard!D$110*(1-Lists!$C$154)</f>
        <v>5.2914010262027578</v>
      </c>
      <c r="H256" s="815">
        <f ca="1">'Manufacturing Costs'!H206*'Cost Input'!$F$81*24*'Cost Input'!$F$94*H$184/Dashboard!E$110*(1-Lists!$C$154)</f>
        <v>5.2914010262027578</v>
      </c>
      <c r="I256" s="815">
        <f ca="1">'Manufacturing Costs'!I206*'Cost Input'!$F$81*24*'Cost Input'!$F$94*I$184/Dashboard!F$110*(1-Lists!$C$154)</f>
        <v>5.2914010262027578</v>
      </c>
      <c r="J256" s="815">
        <f ca="1">'Manufacturing Costs'!J206*'Cost Input'!$F$81*24*'Cost Input'!$F$94*J$184/Dashboard!G$110*(1-Lists!$C$154)</f>
        <v>5.2914010262027578</v>
      </c>
      <c r="K256" s="815">
        <f ca="1">'Manufacturing Costs'!K206*'Cost Input'!$F$81*24*'Cost Input'!$F$94*K$184/Dashboard!H$110*(1-Lists!$C$154)</f>
        <v>5.2914010262027578</v>
      </c>
      <c r="L256" s="815">
        <f ca="1">'Manufacturing Costs'!L206*'Cost Input'!$F$81*24*'Cost Input'!$F$94*L$184/Dashboard!I$110*(1-Lists!$C$154)</f>
        <v>5.2914010262027578</v>
      </c>
      <c r="M256" s="815">
        <f ca="1">'Manufacturing Costs'!M206*'Cost Input'!$F$81*24*'Cost Input'!$F$94*M$184/Dashboard!J$110*(1-Lists!$C$154)</f>
        <v>5.2914010262027578</v>
      </c>
      <c r="N256" s="562"/>
    </row>
    <row r="257" spans="2:14" outlineLevel="1" x14ac:dyDescent="0.15">
      <c r="C257" s="8" t="s">
        <v>1676</v>
      </c>
      <c r="D257" s="26"/>
      <c r="E257" s="26"/>
      <c r="F257" s="26"/>
      <c r="G257" s="815">
        <f t="shared" ref="G257:M257" ca="1" si="100">SUM(G253:G256)</f>
        <v>108.51585213813291</v>
      </c>
      <c r="H257" s="815">
        <f t="shared" ca="1" si="100"/>
        <v>108.51585213813291</v>
      </c>
      <c r="I257" s="815">
        <f t="shared" ca="1" si="100"/>
        <v>108.51585213813291</v>
      </c>
      <c r="J257" s="815">
        <f t="shared" ca="1" si="100"/>
        <v>108.51585213813291</v>
      </c>
      <c r="K257" s="815">
        <f t="shared" ca="1" si="100"/>
        <v>108.51585213813291</v>
      </c>
      <c r="L257" s="815">
        <f t="shared" ca="1" si="100"/>
        <v>108.51585213813291</v>
      </c>
      <c r="M257" s="815">
        <f t="shared" ca="1" si="100"/>
        <v>108.51585213813291</v>
      </c>
      <c r="N257" s="562"/>
    </row>
    <row r="258" spans="2:14" outlineLevel="1" x14ac:dyDescent="0.15">
      <c r="C258" s="8"/>
      <c r="D258" s="26"/>
      <c r="E258" s="26"/>
      <c r="F258" s="26"/>
      <c r="G258" s="815"/>
      <c r="H258" s="815"/>
      <c r="I258" s="815"/>
      <c r="J258" s="815"/>
      <c r="K258" s="815"/>
      <c r="L258" s="815"/>
      <c r="M258" s="815"/>
      <c r="N258" s="562"/>
    </row>
    <row r="259" spans="2:14" outlineLevel="1" x14ac:dyDescent="0.15">
      <c r="B259" s="225" t="s">
        <v>1678</v>
      </c>
      <c r="D259" s="26"/>
      <c r="E259" s="26"/>
      <c r="F259" s="26"/>
      <c r="G259" s="815"/>
      <c r="H259" s="815"/>
      <c r="I259" s="815"/>
      <c r="J259" s="815"/>
      <c r="K259" s="815"/>
      <c r="L259" s="815"/>
      <c r="M259" s="815"/>
      <c r="N259" s="562"/>
    </row>
    <row r="260" spans="2:14" outlineLevel="1" x14ac:dyDescent="0.15">
      <c r="C260" s="8" t="s">
        <v>1673</v>
      </c>
      <c r="D260" s="26"/>
      <c r="E260" s="26"/>
      <c r="F260" s="26"/>
      <c r="G260" s="815">
        <f ca="1">G246+G253</f>
        <v>44.324015268391641</v>
      </c>
      <c r="H260" s="815">
        <f t="shared" ref="H260:M260" ca="1" si="101">H246+H253</f>
        <v>44.324015268391641</v>
      </c>
      <c r="I260" s="815">
        <f t="shared" ca="1" si="101"/>
        <v>44.324015268391641</v>
      </c>
      <c r="J260" s="815">
        <f t="shared" ca="1" si="101"/>
        <v>44.324015268391641</v>
      </c>
      <c r="K260" s="815">
        <f t="shared" ca="1" si="101"/>
        <v>44.324015268391641</v>
      </c>
      <c r="L260" s="815">
        <f t="shared" ca="1" si="101"/>
        <v>44.324015268391641</v>
      </c>
      <c r="M260" s="815">
        <f t="shared" ca="1" si="101"/>
        <v>44.324015268391641</v>
      </c>
      <c r="N260" s="562"/>
    </row>
    <row r="261" spans="2:14" outlineLevel="1" x14ac:dyDescent="0.15">
      <c r="C261" s="8" t="s">
        <v>1674</v>
      </c>
      <c r="D261" s="26"/>
      <c r="E261" s="26"/>
      <c r="F261" s="26"/>
      <c r="G261" s="815">
        <f ca="1">G247+G254</f>
        <v>164.10002800113767</v>
      </c>
      <c r="H261" s="815">
        <f t="shared" ref="H261:M261" ca="1" si="102">H247+H254</f>
        <v>164.10002800113767</v>
      </c>
      <c r="I261" s="815">
        <f t="shared" ca="1" si="102"/>
        <v>164.10002800113767</v>
      </c>
      <c r="J261" s="815">
        <f t="shared" ca="1" si="102"/>
        <v>164.10002800113767</v>
      </c>
      <c r="K261" s="815">
        <f t="shared" ca="1" si="102"/>
        <v>164.10002800113767</v>
      </c>
      <c r="L261" s="815">
        <f t="shared" ca="1" si="102"/>
        <v>164.10002800113767</v>
      </c>
      <c r="M261" s="815">
        <f t="shared" ca="1" si="102"/>
        <v>164.10002800113767</v>
      </c>
      <c r="N261" s="562"/>
    </row>
    <row r="262" spans="2:14" outlineLevel="1" x14ac:dyDescent="0.15">
      <c r="C262" s="8" t="s">
        <v>1675</v>
      </c>
      <c r="D262" s="26"/>
      <c r="E262" s="26"/>
      <c r="F262" s="26"/>
      <c r="G262" s="815">
        <f ca="1">G248+G255</f>
        <v>7.001266508890108</v>
      </c>
      <c r="H262" s="815">
        <f t="shared" ref="H262:M262" ca="1" si="103">H248+H255</f>
        <v>7.001266508890108</v>
      </c>
      <c r="I262" s="815">
        <f t="shared" ca="1" si="103"/>
        <v>7.001266508890108</v>
      </c>
      <c r="J262" s="815">
        <f t="shared" ca="1" si="103"/>
        <v>7.001266508890108</v>
      </c>
      <c r="K262" s="815">
        <f t="shared" ca="1" si="103"/>
        <v>7.001266508890108</v>
      </c>
      <c r="L262" s="815">
        <f t="shared" ca="1" si="103"/>
        <v>7.001266508890108</v>
      </c>
      <c r="M262" s="815">
        <f t="shared" ca="1" si="103"/>
        <v>7.001266508890108</v>
      </c>
      <c r="N262" s="562"/>
    </row>
    <row r="263" spans="2:14" outlineLevel="1" x14ac:dyDescent="0.15">
      <c r="C263" s="8" t="s">
        <v>1536</v>
      </c>
      <c r="D263" s="26"/>
      <c r="E263" s="26"/>
      <c r="F263" s="26"/>
      <c r="G263" s="815">
        <f ca="1">G249+G256</f>
        <v>10.619988084087472</v>
      </c>
      <c r="H263" s="815">
        <f t="shared" ref="H263:M263" ca="1" si="104">H249+H256</f>
        <v>10.619988084087472</v>
      </c>
      <c r="I263" s="815">
        <f t="shared" ca="1" si="104"/>
        <v>10.619988084087472</v>
      </c>
      <c r="J263" s="815">
        <f t="shared" ca="1" si="104"/>
        <v>10.619988084087472</v>
      </c>
      <c r="K263" s="815">
        <f t="shared" ca="1" si="104"/>
        <v>10.619988084087472</v>
      </c>
      <c r="L263" s="815">
        <f t="shared" ca="1" si="104"/>
        <v>10.619988084087472</v>
      </c>
      <c r="M263" s="815">
        <f t="shared" ca="1" si="104"/>
        <v>10.619988084087472</v>
      </c>
      <c r="N263" s="562"/>
    </row>
    <row r="264" spans="2:14" outlineLevel="1" x14ac:dyDescent="0.15">
      <c r="C264" s="8" t="s">
        <v>1676</v>
      </c>
      <c r="D264" s="26"/>
      <c r="E264" s="26"/>
      <c r="F264" s="26"/>
      <c r="G264" s="815">
        <f ca="1">G250+G257</f>
        <v>226.04529786250691</v>
      </c>
      <c r="H264" s="815">
        <f t="shared" ref="H264:M264" ca="1" si="105">H250+H257</f>
        <v>226.04529786250691</v>
      </c>
      <c r="I264" s="815">
        <f t="shared" ca="1" si="105"/>
        <v>226.04529786250691</v>
      </c>
      <c r="J264" s="815">
        <f t="shared" ca="1" si="105"/>
        <v>226.04529786250691</v>
      </c>
      <c r="K264" s="815">
        <f t="shared" ca="1" si="105"/>
        <v>226.04529786250691</v>
      </c>
      <c r="L264" s="815">
        <f t="shared" ca="1" si="105"/>
        <v>226.04529786250691</v>
      </c>
      <c r="M264" s="815">
        <f t="shared" ca="1" si="105"/>
        <v>226.04529786250691</v>
      </c>
      <c r="N264" s="562"/>
    </row>
    <row r="265" spans="2:14" outlineLevel="1" x14ac:dyDescent="0.15">
      <c r="C265" s="8"/>
      <c r="D265" s="26"/>
      <c r="E265" s="26"/>
      <c r="F265" s="26"/>
      <c r="G265" s="367"/>
      <c r="H265" s="367"/>
      <c r="I265" s="367"/>
      <c r="J265" s="367"/>
      <c r="K265" s="367"/>
      <c r="L265" s="367"/>
      <c r="M265" s="367"/>
      <c r="N265" s="562"/>
    </row>
    <row r="266" spans="2:14" ht="14" outlineLevel="1" x14ac:dyDescent="0.15">
      <c r="B266" s="507" t="s">
        <v>1178</v>
      </c>
      <c r="D266" s="26"/>
      <c r="E266" s="26"/>
      <c r="F266" s="26"/>
      <c r="G266" s="367"/>
      <c r="H266" s="367"/>
      <c r="I266" s="367"/>
      <c r="J266" s="367"/>
      <c r="K266" s="367"/>
      <c r="L266" s="367"/>
      <c r="M266" s="367"/>
      <c r="N266" s="562"/>
    </row>
    <row r="267" spans="2:14" outlineLevel="1" x14ac:dyDescent="0.15">
      <c r="B267" s="225" t="s">
        <v>1179</v>
      </c>
      <c r="D267" s="26"/>
      <c r="E267" s="26"/>
      <c r="F267" s="26"/>
      <c r="G267" s="367"/>
      <c r="H267" s="367"/>
      <c r="I267" s="367"/>
      <c r="J267" s="367"/>
      <c r="K267" s="367"/>
      <c r="L267" s="367"/>
      <c r="M267" s="367"/>
      <c r="N267" s="562"/>
    </row>
    <row r="268" spans="2:14" outlineLevel="1" x14ac:dyDescent="0.15">
      <c r="C268" s="8" t="s">
        <v>1673</v>
      </c>
      <c r="D268" s="26"/>
      <c r="E268" s="26"/>
      <c r="F268" s="26"/>
      <c r="G268" s="815">
        <f ca="1">'Manufacturing Costs'!G212*'Cost Input'!$F$93*G$181/Dashboard!D$110*(1-Lists!$C$154)*(1-Lists!$D$154)</f>
        <v>4.7506400404523044</v>
      </c>
      <c r="H268" s="815">
        <f ca="1">'Manufacturing Costs'!H212*'Cost Input'!$F$93*H$181/Dashboard!E$110*(1-Lists!$C$154)*(1-Lists!$D$154)</f>
        <v>4.7506400404523044</v>
      </c>
      <c r="I268" s="815">
        <f ca="1">'Manufacturing Costs'!I212*'Cost Input'!$F$93*I$181/Dashboard!F$110*(1-Lists!$C$154)*(1-Lists!$D$154)</f>
        <v>4.7506400404523044</v>
      </c>
      <c r="J268" s="815">
        <f ca="1">'Manufacturing Costs'!J212*'Cost Input'!$F$93*J$181/Dashboard!G$110*(1-Lists!$C$154)*(1-Lists!$D$154)</f>
        <v>4.7506400404523044</v>
      </c>
      <c r="K268" s="815">
        <f ca="1">'Manufacturing Costs'!K212*'Cost Input'!$F$93*K$181/Dashboard!H$110*(1-Lists!$C$154)*(1-Lists!$D$154)</f>
        <v>4.7506400404523044</v>
      </c>
      <c r="L268" s="815">
        <f ca="1">'Manufacturing Costs'!L212*'Cost Input'!$F$93*L$181/Dashboard!I$110*(1-Lists!$C$154)*(1-Lists!$D$154)</f>
        <v>4.7506400404523044</v>
      </c>
      <c r="M268" s="815">
        <f ca="1">'Manufacturing Costs'!M212*'Cost Input'!$F$93*M$181/Dashboard!J$110*(1-Lists!$C$154)*(1-Lists!$D$154)</f>
        <v>4.7506400404523044</v>
      </c>
      <c r="N268" s="562"/>
    </row>
    <row r="269" spans="2:14" outlineLevel="1" x14ac:dyDescent="0.15">
      <c r="C269" s="8" t="s">
        <v>1674</v>
      </c>
      <c r="D269" s="26"/>
      <c r="E269" s="26"/>
      <c r="F269" s="26"/>
      <c r="G269" s="815">
        <f ca="1">'Manufacturing Costs'!G213*1000000*G$182/Dashboard!D$110*(1-Lists!$C$154)*(1-Lists!$D$154)</f>
        <v>31.821719595360502</v>
      </c>
      <c r="H269" s="815">
        <f ca="1">'Manufacturing Costs'!H213*1000000*H$182/Dashboard!E$110*(1-Lists!$C$154)*(1-Lists!$D$154)</f>
        <v>31.821719595360502</v>
      </c>
      <c r="I269" s="815">
        <f ca="1">'Manufacturing Costs'!I213*1000000*I$182/Dashboard!F$110*(1-Lists!$C$154)*(1-Lists!$D$154)</f>
        <v>31.821719595360502</v>
      </c>
      <c r="J269" s="815">
        <f ca="1">'Manufacturing Costs'!J213*1000000*J$182/Dashboard!G$110*(1-Lists!$C$154)*(1-Lists!$D$154)</f>
        <v>31.821719595360502</v>
      </c>
      <c r="K269" s="815">
        <f ca="1">'Manufacturing Costs'!K213*1000000*K$182/Dashboard!H$110*(1-Lists!$C$154)*(1-Lists!$D$154)</f>
        <v>31.821719595360502</v>
      </c>
      <c r="L269" s="815">
        <f ca="1">'Manufacturing Costs'!L213*1000000*L$182/Dashboard!I$110*(1-Lists!$C$154)*(1-Lists!$D$154)</f>
        <v>31.821719595360502</v>
      </c>
      <c r="M269" s="815">
        <f ca="1">'Manufacturing Costs'!M213*1000000*M$182/Dashboard!J$110*(1-Lists!$C$154)*(1-Lists!$D$154)</f>
        <v>31.821719595360502</v>
      </c>
      <c r="N269" s="562"/>
    </row>
    <row r="270" spans="2:14" outlineLevel="1" x14ac:dyDescent="0.15">
      <c r="C270" s="8" t="s">
        <v>1675</v>
      </c>
      <c r="D270" s="26"/>
      <c r="E270" s="26"/>
      <c r="F270" s="26"/>
      <c r="G270" s="815">
        <f ca="1">'Manufacturing Costs'!G214*'Cost Input'!$F$84*G$183/Dashboard!D$110*(1-Lists!$C$154)*(1-Lists!$D$154)</f>
        <v>4.7387655652873519</v>
      </c>
      <c r="H270" s="815">
        <f ca="1">'Manufacturing Costs'!H214*'Cost Input'!$F$84*H$183/Dashboard!E$110*(1-Lists!$C$154)*(1-Lists!$D$154)</f>
        <v>4.7387655652873519</v>
      </c>
      <c r="I270" s="815">
        <f ca="1">'Manufacturing Costs'!I214*'Cost Input'!$F$84*I$183/Dashboard!F$110*(1-Lists!$C$154)*(1-Lists!$D$154)</f>
        <v>4.7387655652873519</v>
      </c>
      <c r="J270" s="815">
        <f ca="1">'Manufacturing Costs'!J214*'Cost Input'!$F$84*J$183/Dashboard!G$110*(1-Lists!$C$154)*(1-Lists!$D$154)</f>
        <v>4.7387655652873519</v>
      </c>
      <c r="K270" s="815">
        <f ca="1">'Manufacturing Costs'!K214*'Cost Input'!$F$84*K$183/Dashboard!H$110*(1-Lists!$C$154)*(1-Lists!$D$154)</f>
        <v>4.7387655652873519</v>
      </c>
      <c r="L270" s="815">
        <f ca="1">'Manufacturing Costs'!L214*'Cost Input'!$F$84*L$183/Dashboard!I$110*(1-Lists!$C$154)*(1-Lists!$D$154)</f>
        <v>4.7387655652873519</v>
      </c>
      <c r="M270" s="815">
        <f ca="1">'Manufacturing Costs'!M214*'Cost Input'!$F$84*M$183/Dashboard!J$110*(1-Lists!$C$154)*(1-Lists!$D$154)</f>
        <v>4.7387655652873519</v>
      </c>
      <c r="N270" s="562"/>
    </row>
    <row r="271" spans="2:14" outlineLevel="1" x14ac:dyDescent="0.15">
      <c r="C271" s="8" t="s">
        <v>1536</v>
      </c>
      <c r="D271" s="26"/>
      <c r="E271" s="26"/>
      <c r="F271" s="26"/>
      <c r="G271" s="815">
        <f ca="1">'Manufacturing Costs'!G217*'Cost Input'!$F$81*24*'Cost Input'!$F$94*G$184/Dashboard!D$110*(1-Lists!$C$154)</f>
        <v>20.094013061468225</v>
      </c>
      <c r="H271" s="815">
        <f ca="1">'Manufacturing Costs'!H217*'Cost Input'!$F$81*24*'Cost Input'!$F$94*H$184/Dashboard!E$110*(1-Lists!$C$154)</f>
        <v>20.094013061468225</v>
      </c>
      <c r="I271" s="815">
        <f ca="1">'Manufacturing Costs'!I217*'Cost Input'!$F$81*24*'Cost Input'!$F$94*I$184/Dashboard!F$110*(1-Lists!$C$154)</f>
        <v>20.094013061468225</v>
      </c>
      <c r="J271" s="815">
        <f ca="1">'Manufacturing Costs'!J217*'Cost Input'!$F$81*24*'Cost Input'!$F$94*J$184/Dashboard!G$110*(1-Lists!$C$154)</f>
        <v>20.094013061468225</v>
      </c>
      <c r="K271" s="815">
        <f ca="1">'Manufacturing Costs'!K217*'Cost Input'!$F$81*24*'Cost Input'!$F$94*K$184/Dashboard!H$110*(1-Lists!$C$154)</f>
        <v>20.094013061468225</v>
      </c>
      <c r="L271" s="815">
        <f ca="1">'Manufacturing Costs'!L217*'Cost Input'!$F$81*24*'Cost Input'!$F$94*L$184/Dashboard!I$110*(1-Lists!$C$154)</f>
        <v>20.094013061468225</v>
      </c>
      <c r="M271" s="815">
        <f ca="1">'Manufacturing Costs'!M217*'Cost Input'!$F$81*24*'Cost Input'!$F$94*M$184/Dashboard!J$110*(1-Lists!$C$154)</f>
        <v>20.094013061468225</v>
      </c>
      <c r="N271" s="562"/>
    </row>
    <row r="272" spans="2:14" outlineLevel="1" x14ac:dyDescent="0.15">
      <c r="C272" s="8" t="s">
        <v>1676</v>
      </c>
      <c r="D272" s="26"/>
      <c r="E272" s="26"/>
      <c r="F272" s="26"/>
      <c r="G272" s="815">
        <f ca="1">SUM(G268:G271)</f>
        <v>61.405138262568386</v>
      </c>
      <c r="H272" s="815">
        <f t="shared" ref="H272:M272" ca="1" si="106">SUM(H268:H271)</f>
        <v>61.405138262568386</v>
      </c>
      <c r="I272" s="815">
        <f t="shared" ca="1" si="106"/>
        <v>61.405138262568386</v>
      </c>
      <c r="J272" s="815">
        <f t="shared" ca="1" si="106"/>
        <v>61.405138262568386</v>
      </c>
      <c r="K272" s="815">
        <f t="shared" ca="1" si="106"/>
        <v>61.405138262568386</v>
      </c>
      <c r="L272" s="815">
        <f t="shared" ca="1" si="106"/>
        <v>61.405138262568386</v>
      </c>
      <c r="M272" s="815">
        <f t="shared" ca="1" si="106"/>
        <v>61.405138262568386</v>
      </c>
      <c r="N272" s="562"/>
    </row>
    <row r="273" spans="2:14" outlineLevel="1" x14ac:dyDescent="0.15">
      <c r="C273" s="8"/>
      <c r="D273" s="26"/>
      <c r="E273" s="26"/>
      <c r="F273" s="26"/>
      <c r="G273" s="367"/>
      <c r="H273" s="367"/>
      <c r="I273" s="367"/>
      <c r="J273" s="367"/>
      <c r="K273" s="367"/>
      <c r="L273" s="367"/>
      <c r="M273" s="367"/>
      <c r="N273" s="562"/>
    </row>
    <row r="274" spans="2:14" outlineLevel="1" x14ac:dyDescent="0.15">
      <c r="B274" s="225" t="s">
        <v>1185</v>
      </c>
      <c r="D274" s="26"/>
      <c r="E274" s="26"/>
      <c r="F274" s="26"/>
      <c r="G274" s="367"/>
      <c r="H274" s="367"/>
      <c r="I274" s="367"/>
      <c r="J274" s="367"/>
      <c r="K274" s="367"/>
      <c r="L274" s="367"/>
      <c r="M274" s="367"/>
      <c r="N274" s="562"/>
    </row>
    <row r="275" spans="2:14" outlineLevel="1" x14ac:dyDescent="0.15">
      <c r="C275" s="8" t="s">
        <v>1673</v>
      </c>
      <c r="D275" s="26"/>
      <c r="E275" s="26"/>
      <c r="F275" s="26"/>
      <c r="G275" s="815">
        <f ca="1">'Manufacturing Costs'!G222*'Cost Input'!$F$93*G$181/Dashboard!D$110*(1-Lists!$C$154)*(1-Lists!$D$154)</f>
        <v>4.7375244801407304</v>
      </c>
      <c r="H275" s="815">
        <f ca="1">'Manufacturing Costs'!H222*'Cost Input'!$F$93*H$181/Dashboard!E$110*(1-Lists!$C$154)*(1-Lists!$D$154)</f>
        <v>4.7375244801407304</v>
      </c>
      <c r="I275" s="815">
        <f ca="1">'Manufacturing Costs'!I222*'Cost Input'!$F$93*I$181/Dashboard!F$110*(1-Lists!$C$154)*(1-Lists!$D$154)</f>
        <v>4.7375244801407304</v>
      </c>
      <c r="J275" s="815">
        <f ca="1">'Manufacturing Costs'!J222*'Cost Input'!$F$93*J$181/Dashboard!G$110*(1-Lists!$C$154)*(1-Lists!$D$154)</f>
        <v>4.7375244801407304</v>
      </c>
      <c r="K275" s="815">
        <f ca="1">'Manufacturing Costs'!K222*'Cost Input'!$F$93*K$181/Dashboard!H$110*(1-Lists!$C$154)*(1-Lists!$D$154)</f>
        <v>4.7375244801407304</v>
      </c>
      <c r="L275" s="815">
        <f ca="1">'Manufacturing Costs'!L222*'Cost Input'!$F$93*L$181/Dashboard!I$110*(1-Lists!$C$154)*(1-Lists!$D$154)</f>
        <v>4.7375244801407304</v>
      </c>
      <c r="M275" s="815">
        <f ca="1">'Manufacturing Costs'!M222*'Cost Input'!$F$93*M$181/Dashboard!J$110*(1-Lists!$C$154)*(1-Lists!$D$154)</f>
        <v>4.7375244801407304</v>
      </c>
      <c r="N275" s="562"/>
    </row>
    <row r="276" spans="2:14" outlineLevel="1" x14ac:dyDescent="0.15">
      <c r="C276" s="8" t="s">
        <v>1674</v>
      </c>
      <c r="D276" s="26"/>
      <c r="E276" s="26"/>
      <c r="F276" s="26"/>
      <c r="G276" s="815">
        <f ca="1">'Manufacturing Costs'!G223*1000000*G$182/Dashboard!D$110*(1-Lists!$C$154)*(1-Lists!$D$154)</f>
        <v>28.775364592263028</v>
      </c>
      <c r="H276" s="815">
        <f ca="1">'Manufacturing Costs'!H223*1000000*H$182/Dashboard!E$110*(1-Lists!$C$154)*(1-Lists!$D$154)</f>
        <v>28.775364592263028</v>
      </c>
      <c r="I276" s="815">
        <f ca="1">'Manufacturing Costs'!I223*1000000*I$182/Dashboard!F$110*(1-Lists!$C$154)*(1-Lists!$D$154)</f>
        <v>28.775364592263028</v>
      </c>
      <c r="J276" s="815">
        <f ca="1">'Manufacturing Costs'!J223*1000000*J$182/Dashboard!G$110*(1-Lists!$C$154)*(1-Lists!$D$154)</f>
        <v>28.775364592263028</v>
      </c>
      <c r="K276" s="815">
        <f ca="1">'Manufacturing Costs'!K223*1000000*K$182/Dashboard!H$110*(1-Lists!$C$154)*(1-Lists!$D$154)</f>
        <v>28.775364592263028</v>
      </c>
      <c r="L276" s="815">
        <f ca="1">'Manufacturing Costs'!L223*1000000*L$182/Dashboard!I$110*(1-Lists!$C$154)*(1-Lists!$D$154)</f>
        <v>28.775364592263028</v>
      </c>
      <c r="M276" s="815">
        <f ca="1">'Manufacturing Costs'!M223*1000000*M$182/Dashboard!J$110*(1-Lists!$C$154)*(1-Lists!$D$154)</f>
        <v>28.775364592263028</v>
      </c>
      <c r="N276" s="562"/>
    </row>
    <row r="277" spans="2:14" outlineLevel="1" x14ac:dyDescent="0.15">
      <c r="C277" s="8" t="s">
        <v>1675</v>
      </c>
      <c r="D277" s="26"/>
      <c r="E277" s="26"/>
      <c r="F277" s="26"/>
      <c r="G277" s="815">
        <f ca="1">'Manufacturing Costs'!G224*'Cost Input'!$F$84*G$183/Dashboard!D$110*(1-Lists!$C$154)*(1-Lists!$D$154)</f>
        <v>4.7210191260461905</v>
      </c>
      <c r="H277" s="815">
        <f ca="1">'Manufacturing Costs'!H224*'Cost Input'!$F$84*H$183/Dashboard!E$110*(1-Lists!$C$154)*(1-Lists!$D$154)</f>
        <v>4.7210191260461905</v>
      </c>
      <c r="I277" s="815">
        <f ca="1">'Manufacturing Costs'!I224*'Cost Input'!$F$84*I$183/Dashboard!F$110*(1-Lists!$C$154)*(1-Lists!$D$154)</f>
        <v>4.7210191260461905</v>
      </c>
      <c r="J277" s="815">
        <f ca="1">'Manufacturing Costs'!J224*'Cost Input'!$F$84*J$183/Dashboard!G$110*(1-Lists!$C$154)*(1-Lists!$D$154)</f>
        <v>4.7210191260461905</v>
      </c>
      <c r="K277" s="815">
        <f ca="1">'Manufacturing Costs'!K224*'Cost Input'!$F$84*K$183/Dashboard!H$110*(1-Lists!$C$154)*(1-Lists!$D$154)</f>
        <v>4.7210191260461905</v>
      </c>
      <c r="L277" s="815">
        <f ca="1">'Manufacturing Costs'!L224*'Cost Input'!$F$84*L$183/Dashboard!I$110*(1-Lists!$C$154)*(1-Lists!$D$154)</f>
        <v>4.7210191260461905</v>
      </c>
      <c r="M277" s="815">
        <f ca="1">'Manufacturing Costs'!M224*'Cost Input'!$F$84*M$183/Dashboard!J$110*(1-Lists!$C$154)*(1-Lists!$D$154)</f>
        <v>4.7210191260461905</v>
      </c>
      <c r="N277" s="562"/>
    </row>
    <row r="278" spans="2:14" outlineLevel="1" x14ac:dyDescent="0.15">
      <c r="C278" s="8" t="s">
        <v>1536</v>
      </c>
      <c r="D278" s="26"/>
      <c r="E278" s="26"/>
      <c r="F278" s="26"/>
      <c r="G278" s="815">
        <f ca="1">'Manufacturing Costs'!G227*'Cost Input'!$F$81*24*'Cost Input'!$F$94*G$184/Dashboard!D$110*(1-Lists!$C$154)</f>
        <v>6.5723456613325153</v>
      </c>
      <c r="H278" s="815">
        <f ca="1">'Manufacturing Costs'!H227*'Cost Input'!$F$81*24*'Cost Input'!$F$94*H$184/Dashboard!E$110*(1-Lists!$C$154)</f>
        <v>6.5723456613325153</v>
      </c>
      <c r="I278" s="815">
        <f ca="1">'Manufacturing Costs'!I227*'Cost Input'!$F$81*24*'Cost Input'!$F$94*I$184/Dashboard!F$110*(1-Lists!$C$154)</f>
        <v>6.5723456613325153</v>
      </c>
      <c r="J278" s="815">
        <f ca="1">'Manufacturing Costs'!J227*'Cost Input'!$F$81*24*'Cost Input'!$F$94*J$184/Dashboard!G$110*(1-Lists!$C$154)</f>
        <v>6.5723456613325153</v>
      </c>
      <c r="K278" s="815">
        <f ca="1">'Manufacturing Costs'!K227*'Cost Input'!$F$81*24*'Cost Input'!$F$94*K$184/Dashboard!H$110*(1-Lists!$C$154)</f>
        <v>6.5723456613325153</v>
      </c>
      <c r="L278" s="815">
        <f ca="1">'Manufacturing Costs'!L227*'Cost Input'!$F$81*24*'Cost Input'!$F$94*L$184/Dashboard!I$110*(1-Lists!$C$154)</f>
        <v>6.5723456613325153</v>
      </c>
      <c r="M278" s="815">
        <f ca="1">'Manufacturing Costs'!M227*'Cost Input'!$F$81*24*'Cost Input'!$F$94*M$184/Dashboard!J$110*(1-Lists!$C$154)</f>
        <v>6.5723456613325153</v>
      </c>
      <c r="N278" s="562"/>
    </row>
    <row r="279" spans="2:14" outlineLevel="1" x14ac:dyDescent="0.15">
      <c r="C279" s="8" t="s">
        <v>1676</v>
      </c>
      <c r="D279" s="26"/>
      <c r="E279" s="26"/>
      <c r="F279" s="26"/>
      <c r="G279" s="815">
        <f ca="1">SUM(G275:G278)</f>
        <v>44.806253859782466</v>
      </c>
      <c r="H279" s="815">
        <f t="shared" ref="H279:M279" ca="1" si="107">SUM(H275:H278)</f>
        <v>44.806253859782466</v>
      </c>
      <c r="I279" s="815">
        <f t="shared" ca="1" si="107"/>
        <v>44.806253859782466</v>
      </c>
      <c r="J279" s="815">
        <f t="shared" ca="1" si="107"/>
        <v>44.806253859782466</v>
      </c>
      <c r="K279" s="815">
        <f t="shared" ca="1" si="107"/>
        <v>44.806253859782466</v>
      </c>
      <c r="L279" s="815">
        <f t="shared" ca="1" si="107"/>
        <v>44.806253859782466</v>
      </c>
      <c r="M279" s="815">
        <f t="shared" ca="1" si="107"/>
        <v>44.806253859782466</v>
      </c>
      <c r="N279" s="562"/>
    </row>
    <row r="280" spans="2:14" outlineLevel="1" x14ac:dyDescent="0.15">
      <c r="C280" s="8"/>
      <c r="D280" s="26"/>
      <c r="E280" s="26"/>
      <c r="F280" s="26"/>
      <c r="G280" s="815"/>
      <c r="H280" s="815"/>
      <c r="I280" s="815"/>
      <c r="J280" s="815"/>
      <c r="K280" s="815"/>
      <c r="L280" s="815"/>
      <c r="M280" s="815"/>
      <c r="N280" s="562"/>
    </row>
    <row r="281" spans="2:14" outlineLevel="1" x14ac:dyDescent="0.15">
      <c r="B281" s="225" t="s">
        <v>1679</v>
      </c>
      <c r="D281" s="26"/>
      <c r="E281" s="26"/>
      <c r="F281" s="26"/>
      <c r="G281" s="815"/>
      <c r="H281" s="815"/>
      <c r="I281" s="815"/>
      <c r="J281" s="815"/>
      <c r="K281" s="815"/>
      <c r="L281" s="815"/>
      <c r="M281" s="815"/>
      <c r="N281" s="562"/>
    </row>
    <row r="282" spans="2:14" outlineLevel="1" x14ac:dyDescent="0.15">
      <c r="C282" s="8" t="s">
        <v>1673</v>
      </c>
      <c r="D282" s="26"/>
      <c r="E282" s="26"/>
      <c r="F282" s="26"/>
      <c r="G282" s="815">
        <f ca="1">G268+G275</f>
        <v>9.4881645205930347</v>
      </c>
      <c r="H282" s="815">
        <f t="shared" ref="H282:M282" ca="1" si="108">H268+H275</f>
        <v>9.4881645205930347</v>
      </c>
      <c r="I282" s="815">
        <f t="shared" ca="1" si="108"/>
        <v>9.4881645205930347</v>
      </c>
      <c r="J282" s="815">
        <f t="shared" ca="1" si="108"/>
        <v>9.4881645205930347</v>
      </c>
      <c r="K282" s="815">
        <f t="shared" ca="1" si="108"/>
        <v>9.4881645205930347</v>
      </c>
      <c r="L282" s="815">
        <f t="shared" ca="1" si="108"/>
        <v>9.4881645205930347</v>
      </c>
      <c r="M282" s="815">
        <f t="shared" ca="1" si="108"/>
        <v>9.4881645205930347</v>
      </c>
      <c r="N282" s="562"/>
    </row>
    <row r="283" spans="2:14" outlineLevel="1" x14ac:dyDescent="0.15">
      <c r="C283" s="8" t="s">
        <v>1674</v>
      </c>
      <c r="D283" s="26"/>
      <c r="E283" s="26"/>
      <c r="F283" s="26"/>
      <c r="G283" s="815">
        <f ca="1">G269+G276</f>
        <v>60.59708418762353</v>
      </c>
      <c r="H283" s="815">
        <f t="shared" ref="H283:M283" ca="1" si="109">H269+H276</f>
        <v>60.59708418762353</v>
      </c>
      <c r="I283" s="815">
        <f t="shared" ca="1" si="109"/>
        <v>60.59708418762353</v>
      </c>
      <c r="J283" s="815">
        <f t="shared" ca="1" si="109"/>
        <v>60.59708418762353</v>
      </c>
      <c r="K283" s="815">
        <f t="shared" ca="1" si="109"/>
        <v>60.59708418762353</v>
      </c>
      <c r="L283" s="815">
        <f t="shared" ca="1" si="109"/>
        <v>60.59708418762353</v>
      </c>
      <c r="M283" s="815">
        <f t="shared" ca="1" si="109"/>
        <v>60.59708418762353</v>
      </c>
      <c r="N283" s="562"/>
    </row>
    <row r="284" spans="2:14" outlineLevel="1" x14ac:dyDescent="0.15">
      <c r="C284" s="8" t="s">
        <v>1675</v>
      </c>
      <c r="D284" s="26"/>
      <c r="E284" s="26"/>
      <c r="F284" s="26"/>
      <c r="G284" s="815">
        <f ca="1">G270+G277</f>
        <v>9.4597846913335424</v>
      </c>
      <c r="H284" s="815">
        <f t="shared" ref="H284:M284" ca="1" si="110">H270+H277</f>
        <v>9.4597846913335424</v>
      </c>
      <c r="I284" s="815">
        <f t="shared" ca="1" si="110"/>
        <v>9.4597846913335424</v>
      </c>
      <c r="J284" s="815">
        <f t="shared" ca="1" si="110"/>
        <v>9.4597846913335424</v>
      </c>
      <c r="K284" s="815">
        <f t="shared" ca="1" si="110"/>
        <v>9.4597846913335424</v>
      </c>
      <c r="L284" s="815">
        <f t="shared" ca="1" si="110"/>
        <v>9.4597846913335424</v>
      </c>
      <c r="M284" s="815">
        <f t="shared" ca="1" si="110"/>
        <v>9.4597846913335424</v>
      </c>
      <c r="N284" s="562"/>
    </row>
    <row r="285" spans="2:14" outlineLevel="1" x14ac:dyDescent="0.15">
      <c r="C285" s="8" t="s">
        <v>1536</v>
      </c>
      <c r="D285" s="26"/>
      <c r="E285" s="26"/>
      <c r="F285" s="26"/>
      <c r="G285" s="815">
        <f ca="1">G271+G278</f>
        <v>26.666358722800741</v>
      </c>
      <c r="H285" s="815">
        <f t="shared" ref="H285:M285" ca="1" si="111">H271+H278</f>
        <v>26.666358722800741</v>
      </c>
      <c r="I285" s="815">
        <f t="shared" ca="1" si="111"/>
        <v>26.666358722800741</v>
      </c>
      <c r="J285" s="815">
        <f t="shared" ca="1" si="111"/>
        <v>26.666358722800741</v>
      </c>
      <c r="K285" s="815">
        <f t="shared" ca="1" si="111"/>
        <v>26.666358722800741</v>
      </c>
      <c r="L285" s="815">
        <f t="shared" ca="1" si="111"/>
        <v>26.666358722800741</v>
      </c>
      <c r="M285" s="815">
        <f t="shared" ca="1" si="111"/>
        <v>26.666358722800741</v>
      </c>
      <c r="N285" s="562"/>
    </row>
    <row r="286" spans="2:14" outlineLevel="1" x14ac:dyDescent="0.15">
      <c r="C286" s="8" t="s">
        <v>1676</v>
      </c>
      <c r="D286" s="26"/>
      <c r="E286" s="26"/>
      <c r="F286" s="26"/>
      <c r="G286" s="815">
        <f ca="1">G272+G279</f>
        <v>106.21139212235084</v>
      </c>
      <c r="H286" s="815">
        <f t="shared" ref="H286:M286" ca="1" si="112">H272+H279</f>
        <v>106.21139212235084</v>
      </c>
      <c r="I286" s="815">
        <f t="shared" ca="1" si="112"/>
        <v>106.21139212235084</v>
      </c>
      <c r="J286" s="815">
        <f t="shared" ca="1" si="112"/>
        <v>106.21139212235084</v>
      </c>
      <c r="K286" s="815">
        <f t="shared" ca="1" si="112"/>
        <v>106.21139212235084</v>
      </c>
      <c r="L286" s="815">
        <f t="shared" ca="1" si="112"/>
        <v>106.21139212235084</v>
      </c>
      <c r="M286" s="815">
        <f t="shared" ca="1" si="112"/>
        <v>106.21139212235084</v>
      </c>
      <c r="N286" s="562"/>
    </row>
    <row r="287" spans="2:14" outlineLevel="1" x14ac:dyDescent="0.15">
      <c r="C287" s="8"/>
      <c r="D287" s="26"/>
      <c r="E287" s="26"/>
      <c r="F287" s="26"/>
      <c r="G287" s="367"/>
      <c r="H287" s="367"/>
      <c r="I287" s="367"/>
      <c r="J287" s="367"/>
      <c r="K287" s="367"/>
      <c r="L287" s="367"/>
      <c r="M287" s="367"/>
      <c r="N287" s="562"/>
    </row>
    <row r="288" spans="2:14" ht="14" outlineLevel="1" x14ac:dyDescent="0.15">
      <c r="B288" s="507" t="s">
        <v>1187</v>
      </c>
      <c r="D288" s="26"/>
      <c r="E288" s="26"/>
      <c r="F288" s="26"/>
      <c r="G288" s="367"/>
      <c r="H288" s="367"/>
      <c r="I288" s="367"/>
      <c r="J288" s="367"/>
      <c r="K288" s="367"/>
      <c r="L288" s="367"/>
      <c r="M288" s="367"/>
      <c r="N288" s="562"/>
    </row>
    <row r="289" spans="2:14" outlineLevel="1" x14ac:dyDescent="0.15">
      <c r="B289" s="225" t="s">
        <v>1179</v>
      </c>
      <c r="D289" s="26"/>
      <c r="E289" s="26"/>
      <c r="F289" s="26"/>
      <c r="G289" s="367"/>
      <c r="H289" s="367"/>
      <c r="I289" s="367"/>
      <c r="J289" s="367"/>
      <c r="K289" s="367"/>
      <c r="L289" s="367"/>
      <c r="M289" s="367"/>
      <c r="N289" s="562"/>
    </row>
    <row r="290" spans="2:14" outlineLevel="1" x14ac:dyDescent="0.15">
      <c r="C290" s="8" t="s">
        <v>1673</v>
      </c>
      <c r="D290" s="26"/>
      <c r="E290" s="26"/>
      <c r="F290" s="26"/>
      <c r="G290" s="815">
        <f ca="1">'Manufacturing Costs'!G232*'Cost Input'!$F$93*G$181/Dashboard!D$110*(1-Lists!$C$154)*(1-Lists!$D$154)</f>
        <v>3.7844081678179378</v>
      </c>
      <c r="H290" s="815">
        <f ca="1">'Manufacturing Costs'!H232*'Cost Input'!$F$93*H$181/Dashboard!E$110*(1-Lists!$C$154)*(1-Lists!$D$154)</f>
        <v>3.7844081678179378</v>
      </c>
      <c r="I290" s="815">
        <f ca="1">'Manufacturing Costs'!I232*'Cost Input'!$F$93*I$181/Dashboard!F$110*(1-Lists!$C$154)*(1-Lists!$D$154)</f>
        <v>3.7844081678179378</v>
      </c>
      <c r="J290" s="815">
        <f ca="1">'Manufacturing Costs'!J232*'Cost Input'!$F$93*J$181/Dashboard!G$110*(1-Lists!$C$154)*(1-Lists!$D$154)</f>
        <v>3.7844081678179378</v>
      </c>
      <c r="K290" s="815">
        <f ca="1">'Manufacturing Costs'!K232*'Cost Input'!$F$93*K$181/Dashboard!H$110*(1-Lists!$C$154)*(1-Lists!$D$154)</f>
        <v>3.7844081678179378</v>
      </c>
      <c r="L290" s="815">
        <f ca="1">'Manufacturing Costs'!L232*'Cost Input'!$F$93*L$181/Dashboard!I$110*(1-Lists!$C$154)*(1-Lists!$D$154)</f>
        <v>3.7844081678179378</v>
      </c>
      <c r="M290" s="815">
        <f ca="1">'Manufacturing Costs'!M232*'Cost Input'!$F$93*M$181/Dashboard!J$110*(1-Lists!$C$154)*(1-Lists!$D$154)</f>
        <v>3.7844081678179378</v>
      </c>
      <c r="N290" s="562"/>
    </row>
    <row r="291" spans="2:14" outlineLevel="1" x14ac:dyDescent="0.15">
      <c r="C291" s="8" t="s">
        <v>1674</v>
      </c>
      <c r="D291" s="26"/>
      <c r="E291" s="26"/>
      <c r="F291" s="26"/>
      <c r="G291" s="815">
        <f ca="1">'Manufacturing Costs'!G233*1000000*G$182/Dashboard!D$110*(1-Lists!$C$154)*(1-Lists!$D$154)</f>
        <v>8.5990283029708561</v>
      </c>
      <c r="H291" s="815">
        <f ca="1">'Manufacturing Costs'!H233*1000000*H$182/Dashboard!E$110*(1-Lists!$C$154)*(1-Lists!$D$154)</f>
        <v>8.5990283029708561</v>
      </c>
      <c r="I291" s="815">
        <f ca="1">'Manufacturing Costs'!I233*1000000*I$182/Dashboard!F$110*(1-Lists!$C$154)*(1-Lists!$D$154)</f>
        <v>8.5990283029708561</v>
      </c>
      <c r="J291" s="815">
        <f ca="1">'Manufacturing Costs'!J233*1000000*J$182/Dashboard!G$110*(1-Lists!$C$154)*(1-Lists!$D$154)</f>
        <v>8.5990283029708561</v>
      </c>
      <c r="K291" s="815">
        <f ca="1">'Manufacturing Costs'!K233*1000000*K$182/Dashboard!H$110*(1-Lists!$C$154)*(1-Lists!$D$154)</f>
        <v>8.5990283029708561</v>
      </c>
      <c r="L291" s="815">
        <f ca="1">'Manufacturing Costs'!L233*1000000*L$182/Dashboard!I$110*(1-Lists!$C$154)*(1-Lists!$D$154)</f>
        <v>8.5990283029708561</v>
      </c>
      <c r="M291" s="815">
        <f ca="1">'Manufacturing Costs'!M233*1000000*M$182/Dashboard!J$110*(1-Lists!$C$154)*(1-Lists!$D$154)</f>
        <v>8.5990283029708561</v>
      </c>
      <c r="N291" s="562"/>
    </row>
    <row r="292" spans="2:14" outlineLevel="1" x14ac:dyDescent="0.15">
      <c r="C292" s="8" t="s">
        <v>1675</v>
      </c>
      <c r="D292" s="26"/>
      <c r="E292" s="26"/>
      <c r="F292" s="26"/>
      <c r="G292" s="815">
        <f ca="1">'Manufacturing Costs'!G234*'Cost Input'!$F$84*G$183/Dashboard!D$110*(1-Lists!$C$154)*(1-Lists!$D$154)</f>
        <v>0.62196298044396492</v>
      </c>
      <c r="H292" s="815">
        <f ca="1">'Manufacturing Costs'!H234*'Cost Input'!$F$84*H$183/Dashboard!E$110*(1-Lists!$C$154)*(1-Lists!$D$154)</f>
        <v>0.62196298044396492</v>
      </c>
      <c r="I292" s="815">
        <f ca="1">'Manufacturing Costs'!I234*'Cost Input'!$F$84*I$183/Dashboard!F$110*(1-Lists!$C$154)*(1-Lists!$D$154)</f>
        <v>0.62196298044396492</v>
      </c>
      <c r="J292" s="815">
        <f ca="1">'Manufacturing Costs'!J234*'Cost Input'!$F$84*J$183/Dashboard!G$110*(1-Lists!$C$154)*(1-Lists!$D$154)</f>
        <v>0.62196298044396492</v>
      </c>
      <c r="K292" s="815">
        <f ca="1">'Manufacturing Costs'!K234*'Cost Input'!$F$84*K$183/Dashboard!H$110*(1-Lists!$C$154)*(1-Lists!$D$154)</f>
        <v>0.62196298044396492</v>
      </c>
      <c r="L292" s="815">
        <f ca="1">'Manufacturing Costs'!L234*'Cost Input'!$F$84*L$183/Dashboard!I$110*(1-Lists!$C$154)*(1-Lists!$D$154)</f>
        <v>0.62196298044396492</v>
      </c>
      <c r="M292" s="815">
        <f ca="1">'Manufacturing Costs'!M234*'Cost Input'!$F$84*M$183/Dashboard!J$110*(1-Lists!$C$154)*(1-Lists!$D$154)</f>
        <v>0.62196298044396492</v>
      </c>
      <c r="N292" s="562"/>
    </row>
    <row r="293" spans="2:14" outlineLevel="1" x14ac:dyDescent="0.15">
      <c r="C293" s="8" t="s">
        <v>1536</v>
      </c>
      <c r="D293" s="26"/>
      <c r="E293" s="26"/>
      <c r="F293" s="26"/>
      <c r="G293" s="815">
        <f ca="1">'Manufacturing Costs'!G235*'Cost Input'!$F$81*24*'Cost Input'!$F$94*G$184/Dashboard!D$110*(1-Lists!$C$154)</f>
        <v>0.48481103909229778</v>
      </c>
      <c r="H293" s="815">
        <f ca="1">'Manufacturing Costs'!H235*'Cost Input'!$F$81*24*'Cost Input'!$F$94*H$184/Dashboard!E$110*(1-Lists!$C$154)</f>
        <v>0.48481103909229778</v>
      </c>
      <c r="I293" s="815">
        <f ca="1">'Manufacturing Costs'!I235*'Cost Input'!$F$81*24*'Cost Input'!$F$94*I$184/Dashboard!F$110*(1-Lists!$C$154)</f>
        <v>0.48481103909229778</v>
      </c>
      <c r="J293" s="815">
        <f ca="1">'Manufacturing Costs'!J235*'Cost Input'!$F$81*24*'Cost Input'!$F$94*J$184/Dashboard!G$110*(1-Lists!$C$154)</f>
        <v>0.48481103909229778</v>
      </c>
      <c r="K293" s="815">
        <f ca="1">'Manufacturing Costs'!K235*'Cost Input'!$F$81*24*'Cost Input'!$F$94*K$184/Dashboard!H$110*(1-Lists!$C$154)</f>
        <v>0.48481103909229778</v>
      </c>
      <c r="L293" s="815">
        <f ca="1">'Manufacturing Costs'!L235*'Cost Input'!$F$81*24*'Cost Input'!$F$94*L$184/Dashboard!I$110*(1-Lists!$C$154)</f>
        <v>0.48481103909229778</v>
      </c>
      <c r="M293" s="815">
        <f ca="1">'Manufacturing Costs'!M235*'Cost Input'!$F$81*24*'Cost Input'!$F$94*M$184/Dashboard!J$110*(1-Lists!$C$154)</f>
        <v>0.48481103909229778</v>
      </c>
      <c r="N293" s="562"/>
    </row>
    <row r="294" spans="2:14" outlineLevel="1" x14ac:dyDescent="0.15">
      <c r="C294" s="8" t="s">
        <v>1676</v>
      </c>
      <c r="D294" s="26"/>
      <c r="E294" s="26"/>
      <c r="F294" s="26"/>
      <c r="G294" s="815">
        <f ca="1">SUM(G290:G293)</f>
        <v>13.490210490325056</v>
      </c>
      <c r="H294" s="815">
        <f t="shared" ref="H294:M294" ca="1" si="113">SUM(H290:H293)</f>
        <v>13.490210490325056</v>
      </c>
      <c r="I294" s="815">
        <f t="shared" ca="1" si="113"/>
        <v>13.490210490325056</v>
      </c>
      <c r="J294" s="815">
        <f t="shared" ca="1" si="113"/>
        <v>13.490210490325056</v>
      </c>
      <c r="K294" s="815">
        <f t="shared" ca="1" si="113"/>
        <v>13.490210490325056</v>
      </c>
      <c r="L294" s="815">
        <f t="shared" ca="1" si="113"/>
        <v>13.490210490325056</v>
      </c>
      <c r="M294" s="815">
        <f t="shared" ca="1" si="113"/>
        <v>13.490210490325056</v>
      </c>
      <c r="N294" s="562"/>
    </row>
    <row r="295" spans="2:14" outlineLevel="1" x14ac:dyDescent="0.15">
      <c r="C295" s="8"/>
      <c r="D295" s="26"/>
      <c r="E295" s="26"/>
      <c r="F295" s="26"/>
      <c r="G295" s="367"/>
      <c r="H295" s="367"/>
      <c r="I295" s="367"/>
      <c r="J295" s="367"/>
      <c r="K295" s="367"/>
      <c r="L295" s="367"/>
      <c r="M295" s="367"/>
      <c r="N295" s="562"/>
    </row>
    <row r="296" spans="2:14" outlineLevel="1" x14ac:dyDescent="0.15">
      <c r="B296" s="225" t="s">
        <v>1185</v>
      </c>
      <c r="D296" s="26"/>
      <c r="E296" s="26"/>
      <c r="F296" s="26"/>
      <c r="G296" s="367"/>
      <c r="H296" s="367"/>
      <c r="I296" s="367"/>
      <c r="J296" s="367"/>
      <c r="K296" s="367"/>
      <c r="L296" s="367"/>
      <c r="M296" s="367"/>
      <c r="N296" s="562"/>
    </row>
    <row r="297" spans="2:14" outlineLevel="1" x14ac:dyDescent="0.15">
      <c r="C297" s="8" t="s">
        <v>1673</v>
      </c>
      <c r="D297" s="26"/>
      <c r="E297" s="26"/>
      <c r="F297" s="26"/>
      <c r="G297" s="815">
        <f ca="1">'Manufacturing Costs'!G239*'Cost Input'!$F$93*G$181/Dashboard!D$110*(1-Lists!$C$154)*(1-Lists!$D$154)</f>
        <v>4.2557423296179442</v>
      </c>
      <c r="H297" s="815">
        <f ca="1">'Manufacturing Costs'!H239*'Cost Input'!$F$93*H$181/Dashboard!E$110*(1-Lists!$C$154)*(1-Lists!$D$154)</f>
        <v>4.2557423296179442</v>
      </c>
      <c r="I297" s="815">
        <f ca="1">'Manufacturing Costs'!I239*'Cost Input'!$F$93*I$181/Dashboard!F$110*(1-Lists!$C$154)*(1-Lists!$D$154)</f>
        <v>4.2557423296179442</v>
      </c>
      <c r="J297" s="815">
        <f ca="1">'Manufacturing Costs'!J239*'Cost Input'!$F$93*J$181/Dashboard!G$110*(1-Lists!$C$154)*(1-Lists!$D$154)</f>
        <v>4.2557423296179442</v>
      </c>
      <c r="K297" s="815">
        <f ca="1">'Manufacturing Costs'!K239*'Cost Input'!$F$93*K$181/Dashboard!H$110*(1-Lists!$C$154)*(1-Lists!$D$154)</f>
        <v>4.2557423296179442</v>
      </c>
      <c r="L297" s="815">
        <f ca="1">'Manufacturing Costs'!L239*'Cost Input'!$F$93*L$181/Dashboard!I$110*(1-Lists!$C$154)*(1-Lists!$D$154)</f>
        <v>4.2557423296179442</v>
      </c>
      <c r="M297" s="815">
        <f ca="1">'Manufacturing Costs'!M239*'Cost Input'!$F$93*M$181/Dashboard!J$110*(1-Lists!$C$154)*(1-Lists!$D$154)</f>
        <v>4.2557423296179442</v>
      </c>
      <c r="N297" s="562"/>
    </row>
    <row r="298" spans="2:14" outlineLevel="1" x14ac:dyDescent="0.15">
      <c r="C298" s="8" t="s">
        <v>1674</v>
      </c>
      <c r="D298" s="26"/>
      <c r="E298" s="26"/>
      <c r="F298" s="26"/>
      <c r="G298" s="815">
        <f ca="1">'Manufacturing Costs'!G240*1000000*G$182/Dashboard!D$110*(1-Lists!$C$154)*(1-Lists!$D$154)</f>
        <v>8.5685172539524856</v>
      </c>
      <c r="H298" s="815">
        <f ca="1">'Manufacturing Costs'!H240*1000000*H$182/Dashboard!E$110*(1-Lists!$C$154)*(1-Lists!$D$154)</f>
        <v>8.5685172539524856</v>
      </c>
      <c r="I298" s="815">
        <f ca="1">'Manufacturing Costs'!I240*1000000*I$182/Dashboard!F$110*(1-Lists!$C$154)*(1-Lists!$D$154)</f>
        <v>8.5685172539524856</v>
      </c>
      <c r="J298" s="815">
        <f ca="1">'Manufacturing Costs'!J240*1000000*J$182/Dashboard!G$110*(1-Lists!$C$154)*(1-Lists!$D$154)</f>
        <v>8.5685172539524856</v>
      </c>
      <c r="K298" s="815">
        <f ca="1">'Manufacturing Costs'!K240*1000000*K$182/Dashboard!H$110*(1-Lists!$C$154)*(1-Lists!$D$154)</f>
        <v>8.5685172539524856</v>
      </c>
      <c r="L298" s="815">
        <f ca="1">'Manufacturing Costs'!L240*1000000*L$182/Dashboard!I$110*(1-Lists!$C$154)*(1-Lists!$D$154)</f>
        <v>8.5685172539524856</v>
      </c>
      <c r="M298" s="815">
        <f ca="1">'Manufacturing Costs'!M240*1000000*M$182/Dashboard!J$110*(1-Lists!$C$154)*(1-Lists!$D$154)</f>
        <v>8.5685172539524856</v>
      </c>
      <c r="N298" s="562"/>
    </row>
    <row r="299" spans="2:14" outlineLevel="1" x14ac:dyDescent="0.15">
      <c r="C299" s="8" t="s">
        <v>1675</v>
      </c>
      <c r="D299" s="26"/>
      <c r="E299" s="26"/>
      <c r="F299" s="26"/>
      <c r="G299" s="815">
        <f ca="1">'Manufacturing Costs'!G241*'Cost Input'!$F$84*G$183/Dashboard!D$110*(1-Lists!$C$154)*(1-Lists!$D$154)</f>
        <v>0.61963376029356232</v>
      </c>
      <c r="H299" s="815">
        <f ca="1">'Manufacturing Costs'!H241*'Cost Input'!$F$84*H$183/Dashboard!E$110*(1-Lists!$C$154)*(1-Lists!$D$154)</f>
        <v>0.61963376029356232</v>
      </c>
      <c r="I299" s="815">
        <f ca="1">'Manufacturing Costs'!I241*'Cost Input'!$F$84*I$183/Dashboard!F$110*(1-Lists!$C$154)*(1-Lists!$D$154)</f>
        <v>0.61963376029356232</v>
      </c>
      <c r="J299" s="815">
        <f ca="1">'Manufacturing Costs'!J241*'Cost Input'!$F$84*J$183/Dashboard!G$110*(1-Lists!$C$154)*(1-Lists!$D$154)</f>
        <v>0.61963376029356232</v>
      </c>
      <c r="K299" s="815">
        <f ca="1">'Manufacturing Costs'!K241*'Cost Input'!$F$84*K$183/Dashboard!H$110*(1-Lists!$C$154)*(1-Lists!$D$154)</f>
        <v>0.61963376029356232</v>
      </c>
      <c r="L299" s="815">
        <f ca="1">'Manufacturing Costs'!L241*'Cost Input'!$F$84*L$183/Dashboard!I$110*(1-Lists!$C$154)*(1-Lists!$D$154)</f>
        <v>0.61963376029356232</v>
      </c>
      <c r="M299" s="815">
        <f ca="1">'Manufacturing Costs'!M241*'Cost Input'!$F$84*M$183/Dashboard!J$110*(1-Lists!$C$154)*(1-Lists!$D$154)</f>
        <v>0.61963376029356232</v>
      </c>
      <c r="N299" s="562"/>
    </row>
    <row r="300" spans="2:14" outlineLevel="1" x14ac:dyDescent="0.15">
      <c r="C300" s="8" t="s">
        <v>1536</v>
      </c>
      <c r="D300" s="26"/>
      <c r="E300" s="26"/>
      <c r="F300" s="26"/>
      <c r="G300" s="815">
        <f ca="1">'Manufacturing Costs'!G242*'Cost Input'!$F$81*24*'Cost Input'!$F$94*G$184/Dashboard!D$110*(1-Lists!$C$154)</f>
        <v>0.18783156236432605</v>
      </c>
      <c r="H300" s="815">
        <f ca="1">'Manufacturing Costs'!H242*'Cost Input'!$F$81*24*'Cost Input'!$F$94*H$184/Dashboard!E$110*(1-Lists!$C$154)</f>
        <v>0.18783156236432605</v>
      </c>
      <c r="I300" s="815">
        <f ca="1">'Manufacturing Costs'!I242*'Cost Input'!$F$81*24*'Cost Input'!$F$94*I$184/Dashboard!F$110*(1-Lists!$C$154)</f>
        <v>0.18783156236432605</v>
      </c>
      <c r="J300" s="815">
        <f ca="1">'Manufacturing Costs'!J242*'Cost Input'!$F$81*24*'Cost Input'!$F$94*J$184/Dashboard!G$110*(1-Lists!$C$154)</f>
        <v>0.18783156236432605</v>
      </c>
      <c r="K300" s="815">
        <f ca="1">'Manufacturing Costs'!K242*'Cost Input'!$F$81*24*'Cost Input'!$F$94*K$184/Dashboard!H$110*(1-Lists!$C$154)</f>
        <v>0.18783156236432605</v>
      </c>
      <c r="L300" s="815">
        <f ca="1">'Manufacturing Costs'!L242*'Cost Input'!$F$81*24*'Cost Input'!$F$94*L$184/Dashboard!I$110*(1-Lists!$C$154)</f>
        <v>0.18783156236432605</v>
      </c>
      <c r="M300" s="815">
        <f ca="1">'Manufacturing Costs'!M242*'Cost Input'!$F$81*24*'Cost Input'!$F$94*M$184/Dashboard!J$110*(1-Lists!$C$154)</f>
        <v>0.18783156236432605</v>
      </c>
      <c r="N300" s="562"/>
    </row>
    <row r="301" spans="2:14" outlineLevel="1" x14ac:dyDescent="0.15">
      <c r="C301" s="8" t="s">
        <v>1676</v>
      </c>
      <c r="D301" s="26"/>
      <c r="E301" s="26"/>
      <c r="F301" s="26"/>
      <c r="G301" s="815">
        <f ca="1">SUM(G297:G300)</f>
        <v>13.631724906228319</v>
      </c>
      <c r="H301" s="815">
        <f t="shared" ref="H301:M301" ca="1" si="114">SUM(H297:H300)</f>
        <v>13.631724906228319</v>
      </c>
      <c r="I301" s="815">
        <f t="shared" ca="1" si="114"/>
        <v>13.631724906228319</v>
      </c>
      <c r="J301" s="815">
        <f t="shared" ca="1" si="114"/>
        <v>13.631724906228319</v>
      </c>
      <c r="K301" s="815">
        <f t="shared" ca="1" si="114"/>
        <v>13.631724906228319</v>
      </c>
      <c r="L301" s="815">
        <f t="shared" ca="1" si="114"/>
        <v>13.631724906228319</v>
      </c>
      <c r="M301" s="815">
        <f t="shared" ca="1" si="114"/>
        <v>13.631724906228319</v>
      </c>
      <c r="N301" s="562"/>
    </row>
    <row r="302" spans="2:14" outlineLevel="1" x14ac:dyDescent="0.15">
      <c r="C302" s="8"/>
      <c r="D302" s="26"/>
      <c r="E302" s="26"/>
      <c r="F302" s="26"/>
      <c r="G302" s="815"/>
      <c r="H302" s="815"/>
      <c r="I302" s="815"/>
      <c r="J302" s="815"/>
      <c r="K302" s="815"/>
      <c r="L302" s="815"/>
      <c r="M302" s="815"/>
      <c r="N302" s="562"/>
    </row>
    <row r="303" spans="2:14" outlineLevel="1" x14ac:dyDescent="0.15">
      <c r="B303" s="225" t="s">
        <v>1680</v>
      </c>
      <c r="D303" s="26"/>
      <c r="E303" s="26"/>
      <c r="F303" s="26"/>
      <c r="G303" s="815"/>
      <c r="H303" s="815"/>
      <c r="I303" s="815"/>
      <c r="J303" s="815"/>
      <c r="K303" s="815"/>
      <c r="L303" s="815"/>
      <c r="M303" s="815"/>
      <c r="N303" s="562"/>
    </row>
    <row r="304" spans="2:14" outlineLevel="1" x14ac:dyDescent="0.15">
      <c r="C304" s="8" t="s">
        <v>1673</v>
      </c>
      <c r="D304" s="26"/>
      <c r="E304" s="26"/>
      <c r="F304" s="26"/>
      <c r="G304" s="815">
        <f ca="1">G290+G297</f>
        <v>8.0401504974358815</v>
      </c>
      <c r="H304" s="815">
        <f t="shared" ref="H304:M304" ca="1" si="115">H290+H297</f>
        <v>8.0401504974358815</v>
      </c>
      <c r="I304" s="815">
        <f t="shared" ca="1" si="115"/>
        <v>8.0401504974358815</v>
      </c>
      <c r="J304" s="815">
        <f t="shared" ca="1" si="115"/>
        <v>8.0401504974358815</v>
      </c>
      <c r="K304" s="815">
        <f t="shared" ca="1" si="115"/>
        <v>8.0401504974358815</v>
      </c>
      <c r="L304" s="815">
        <f t="shared" ca="1" si="115"/>
        <v>8.0401504974358815</v>
      </c>
      <c r="M304" s="815">
        <f t="shared" ca="1" si="115"/>
        <v>8.0401504974358815</v>
      </c>
      <c r="N304" s="562"/>
    </row>
    <row r="305" spans="2:14" outlineLevel="1" x14ac:dyDescent="0.15">
      <c r="C305" s="8" t="s">
        <v>1674</v>
      </c>
      <c r="D305" s="26"/>
      <c r="E305" s="26"/>
      <c r="F305" s="26"/>
      <c r="G305" s="815">
        <f ca="1">G291+G298</f>
        <v>17.167545556923343</v>
      </c>
      <c r="H305" s="815">
        <f t="shared" ref="H305:M305" ca="1" si="116">H291+H298</f>
        <v>17.167545556923343</v>
      </c>
      <c r="I305" s="815">
        <f t="shared" ca="1" si="116"/>
        <v>17.167545556923343</v>
      </c>
      <c r="J305" s="815">
        <f t="shared" ca="1" si="116"/>
        <v>17.167545556923343</v>
      </c>
      <c r="K305" s="815">
        <f t="shared" ca="1" si="116"/>
        <v>17.167545556923343</v>
      </c>
      <c r="L305" s="815">
        <f t="shared" ca="1" si="116"/>
        <v>17.167545556923343</v>
      </c>
      <c r="M305" s="815">
        <f t="shared" ca="1" si="116"/>
        <v>17.167545556923343</v>
      </c>
      <c r="N305" s="562"/>
    </row>
    <row r="306" spans="2:14" outlineLevel="1" x14ac:dyDescent="0.15">
      <c r="C306" s="8" t="s">
        <v>1675</v>
      </c>
      <c r="D306" s="26"/>
      <c r="E306" s="26"/>
      <c r="F306" s="26"/>
      <c r="G306" s="815">
        <f ca="1">G292+G299</f>
        <v>1.2415967407375272</v>
      </c>
      <c r="H306" s="815">
        <f t="shared" ref="H306:M306" ca="1" si="117">H292+H299</f>
        <v>1.2415967407375272</v>
      </c>
      <c r="I306" s="815">
        <f t="shared" ca="1" si="117"/>
        <v>1.2415967407375272</v>
      </c>
      <c r="J306" s="815">
        <f t="shared" ca="1" si="117"/>
        <v>1.2415967407375272</v>
      </c>
      <c r="K306" s="815">
        <f t="shared" ca="1" si="117"/>
        <v>1.2415967407375272</v>
      </c>
      <c r="L306" s="815">
        <f t="shared" ca="1" si="117"/>
        <v>1.2415967407375272</v>
      </c>
      <c r="M306" s="815">
        <f t="shared" ca="1" si="117"/>
        <v>1.2415967407375272</v>
      </c>
      <c r="N306" s="562"/>
    </row>
    <row r="307" spans="2:14" outlineLevel="1" x14ac:dyDescent="0.15">
      <c r="C307" s="8" t="s">
        <v>1536</v>
      </c>
      <c r="D307" s="26"/>
      <c r="E307" s="26"/>
      <c r="F307" s="26"/>
      <c r="G307" s="815">
        <f ca="1">G293+G300</f>
        <v>0.6726426014566238</v>
      </c>
      <c r="H307" s="815">
        <f t="shared" ref="H307:M307" ca="1" si="118">H293+H300</f>
        <v>0.6726426014566238</v>
      </c>
      <c r="I307" s="815">
        <f t="shared" ca="1" si="118"/>
        <v>0.6726426014566238</v>
      </c>
      <c r="J307" s="815">
        <f t="shared" ca="1" si="118"/>
        <v>0.6726426014566238</v>
      </c>
      <c r="K307" s="815">
        <f t="shared" ca="1" si="118"/>
        <v>0.6726426014566238</v>
      </c>
      <c r="L307" s="815">
        <f t="shared" ca="1" si="118"/>
        <v>0.6726426014566238</v>
      </c>
      <c r="M307" s="815">
        <f t="shared" ca="1" si="118"/>
        <v>0.6726426014566238</v>
      </c>
      <c r="N307" s="562"/>
    </row>
    <row r="308" spans="2:14" outlineLevel="1" x14ac:dyDescent="0.15">
      <c r="C308" s="8" t="s">
        <v>1676</v>
      </c>
      <c r="D308" s="26"/>
      <c r="E308" s="26"/>
      <c r="F308" s="26"/>
      <c r="G308" s="815">
        <f ca="1">G294+G301</f>
        <v>27.121935396553376</v>
      </c>
      <c r="H308" s="815">
        <f t="shared" ref="H308:M308" ca="1" si="119">H294+H301</f>
        <v>27.121935396553376</v>
      </c>
      <c r="I308" s="815">
        <f t="shared" ca="1" si="119"/>
        <v>27.121935396553376</v>
      </c>
      <c r="J308" s="815">
        <f t="shared" ca="1" si="119"/>
        <v>27.121935396553376</v>
      </c>
      <c r="K308" s="815">
        <f t="shared" ca="1" si="119"/>
        <v>27.121935396553376</v>
      </c>
      <c r="L308" s="815">
        <f t="shared" ca="1" si="119"/>
        <v>27.121935396553376</v>
      </c>
      <c r="M308" s="815">
        <f t="shared" ca="1" si="119"/>
        <v>27.121935396553376</v>
      </c>
      <c r="N308" s="562"/>
    </row>
    <row r="309" spans="2:14" outlineLevel="1" x14ac:dyDescent="0.15">
      <c r="C309" s="8"/>
      <c r="D309" s="26"/>
      <c r="E309" s="26"/>
      <c r="F309" s="26"/>
      <c r="G309" s="367"/>
      <c r="H309" s="367"/>
      <c r="I309" s="367"/>
      <c r="J309" s="367"/>
      <c r="K309" s="367"/>
      <c r="L309" s="367"/>
      <c r="M309" s="367"/>
      <c r="N309" s="562"/>
    </row>
    <row r="310" spans="2:14" ht="14" outlineLevel="1" x14ac:dyDescent="0.15">
      <c r="B310" s="507" t="s">
        <v>1188</v>
      </c>
      <c r="D310" s="26"/>
      <c r="E310" s="26"/>
      <c r="F310" s="26"/>
      <c r="G310" s="367"/>
      <c r="H310" s="367"/>
      <c r="I310" s="367"/>
      <c r="J310" s="367"/>
      <c r="K310" s="367"/>
      <c r="L310" s="367"/>
      <c r="M310" s="367"/>
      <c r="N310" s="562"/>
    </row>
    <row r="311" spans="2:14" outlineLevel="1" x14ac:dyDescent="0.15">
      <c r="B311" s="225" t="s">
        <v>1179</v>
      </c>
      <c r="D311" s="26"/>
      <c r="E311" s="26"/>
      <c r="F311" s="26"/>
      <c r="G311" s="367"/>
      <c r="H311" s="367"/>
      <c r="I311" s="367"/>
      <c r="J311" s="367"/>
      <c r="K311" s="367"/>
      <c r="L311" s="367"/>
      <c r="M311" s="367"/>
      <c r="N311" s="562"/>
    </row>
    <row r="312" spans="2:14" outlineLevel="1" x14ac:dyDescent="0.15">
      <c r="C312" s="8" t="s">
        <v>1673</v>
      </c>
      <c r="D312" s="26"/>
      <c r="E312" s="26"/>
      <c r="F312" s="26"/>
      <c r="G312" s="815">
        <f ca="1">'Manufacturing Costs'!G247*'Cost Input'!$F$93*G$181/Dashboard!D$110*(1-Lists!$C$154)*(1-Lists!$D$154)</f>
        <v>20.129830679882648</v>
      </c>
      <c r="H312" s="815">
        <f ca="1">'Manufacturing Costs'!H247*'Cost Input'!$F$93*H$181/Dashboard!E$110*(1-Lists!$C$154)*(1-Lists!$D$154)</f>
        <v>20.129830679882648</v>
      </c>
      <c r="I312" s="815">
        <f ca="1">'Manufacturing Costs'!I247*'Cost Input'!$F$93*I$181/Dashboard!F$110*(1-Lists!$C$154)*(1-Lists!$D$154)</f>
        <v>20.129830679882648</v>
      </c>
      <c r="J312" s="815">
        <f ca="1">'Manufacturing Costs'!J247*'Cost Input'!$F$93*J$181/Dashboard!G$110*(1-Lists!$C$154)*(1-Lists!$D$154)</f>
        <v>20.129830679882648</v>
      </c>
      <c r="K312" s="815">
        <f ca="1">'Manufacturing Costs'!K247*'Cost Input'!$F$93*K$181/Dashboard!H$110*(1-Lists!$C$154)*(1-Lists!$D$154)</f>
        <v>20.129830679882648</v>
      </c>
      <c r="L312" s="815">
        <f ca="1">'Manufacturing Costs'!L247*'Cost Input'!$F$93*L$181/Dashboard!I$110*(1-Lists!$C$154)*(1-Lists!$D$154)</f>
        <v>20.129830679882648</v>
      </c>
      <c r="M312" s="815">
        <f ca="1">'Manufacturing Costs'!M247*'Cost Input'!$F$93*M$181/Dashboard!J$110*(1-Lists!$C$154)*(1-Lists!$D$154)</f>
        <v>20.129830679882648</v>
      </c>
      <c r="N312" s="562"/>
    </row>
    <row r="313" spans="2:14" outlineLevel="1" x14ac:dyDescent="0.15">
      <c r="C313" s="8" t="s">
        <v>1674</v>
      </c>
      <c r="D313" s="26"/>
      <c r="E313" s="26"/>
      <c r="F313" s="26"/>
      <c r="G313" s="815">
        <f ca="1">'Manufacturing Costs'!G248*1000000*G$182/Dashboard!D$110*(1-Lists!$C$154)*(1-Lists!$D$154)</f>
        <v>10.19902727709667</v>
      </c>
      <c r="H313" s="815">
        <f ca="1">'Manufacturing Costs'!H248*1000000*H$182/Dashboard!E$110*(1-Lists!$C$154)*(1-Lists!$D$154)</f>
        <v>10.19902727709667</v>
      </c>
      <c r="I313" s="815">
        <f ca="1">'Manufacturing Costs'!I248*1000000*I$182/Dashboard!F$110*(1-Lists!$C$154)*(1-Lists!$D$154)</f>
        <v>10.19902727709667</v>
      </c>
      <c r="J313" s="815">
        <f ca="1">'Manufacturing Costs'!J248*1000000*J$182/Dashboard!G$110*(1-Lists!$C$154)*(1-Lists!$D$154)</f>
        <v>10.19902727709667</v>
      </c>
      <c r="K313" s="815">
        <f ca="1">'Manufacturing Costs'!K248*1000000*K$182/Dashboard!H$110*(1-Lists!$C$154)*(1-Lists!$D$154)</f>
        <v>10.19902727709667</v>
      </c>
      <c r="L313" s="815">
        <f ca="1">'Manufacturing Costs'!L248*1000000*L$182/Dashboard!I$110*(1-Lists!$C$154)*(1-Lists!$D$154)</f>
        <v>10.19902727709667</v>
      </c>
      <c r="M313" s="815">
        <f ca="1">'Manufacturing Costs'!M248*1000000*M$182/Dashboard!J$110*(1-Lists!$C$154)*(1-Lists!$D$154)</f>
        <v>10.19902727709667</v>
      </c>
      <c r="N313" s="562"/>
    </row>
    <row r="314" spans="2:14" outlineLevel="1" x14ac:dyDescent="0.15">
      <c r="C314" s="8" t="s">
        <v>1675</v>
      </c>
      <c r="D314" s="26"/>
      <c r="E314" s="26"/>
      <c r="F314" s="26"/>
      <c r="G314" s="815">
        <f ca="1">'Manufacturing Costs'!G249*'Cost Input'!$F$84*G$183/Dashboard!D$110*(1-Lists!$C$154)*(1-Lists!$D$154)</f>
        <v>0.94775311305747045</v>
      </c>
      <c r="H314" s="815">
        <f ca="1">'Manufacturing Costs'!H249*'Cost Input'!$F$84*H$183/Dashboard!E$110*(1-Lists!$C$154)*(1-Lists!$D$154)</f>
        <v>0.94775311305747045</v>
      </c>
      <c r="I314" s="815">
        <f ca="1">'Manufacturing Costs'!I249*'Cost Input'!$F$84*I$183/Dashboard!F$110*(1-Lists!$C$154)*(1-Lists!$D$154)</f>
        <v>0.94775311305747045</v>
      </c>
      <c r="J314" s="815">
        <f ca="1">'Manufacturing Costs'!J249*'Cost Input'!$F$84*J$183/Dashboard!G$110*(1-Lists!$C$154)*(1-Lists!$D$154)</f>
        <v>0.94775311305747045</v>
      </c>
      <c r="K314" s="815">
        <f ca="1">'Manufacturing Costs'!K249*'Cost Input'!$F$84*K$183/Dashboard!H$110*(1-Lists!$C$154)*(1-Lists!$D$154)</f>
        <v>0.94775311305747045</v>
      </c>
      <c r="L314" s="815">
        <f ca="1">'Manufacturing Costs'!L249*'Cost Input'!$F$84*L$183/Dashboard!I$110*(1-Lists!$C$154)*(1-Lists!$D$154)</f>
        <v>0.94775311305747045</v>
      </c>
      <c r="M314" s="815">
        <f ca="1">'Manufacturing Costs'!M249*'Cost Input'!$F$84*M$183/Dashboard!J$110*(1-Lists!$C$154)*(1-Lists!$D$154)</f>
        <v>0.94775311305747045</v>
      </c>
      <c r="N314" s="562"/>
    </row>
    <row r="315" spans="2:14" outlineLevel="1" x14ac:dyDescent="0.15">
      <c r="C315" s="8" t="s">
        <v>1536</v>
      </c>
      <c r="D315" s="26"/>
      <c r="E315" s="26"/>
      <c r="F315" s="26"/>
      <c r="G315" s="815">
        <f ca="1">'Manufacturing Costs'!G250*'Cost Input'!$F$81*24*'Cost Input'!$F$94*G$184/Dashboard!D$110*(1-Lists!$C$154)</f>
        <v>0.86188629171964071</v>
      </c>
      <c r="H315" s="815">
        <f ca="1">'Manufacturing Costs'!H250*'Cost Input'!$F$81*24*'Cost Input'!$F$94*H$184/Dashboard!E$110*(1-Lists!$C$154)</f>
        <v>0.86188629171964071</v>
      </c>
      <c r="I315" s="815">
        <f ca="1">'Manufacturing Costs'!I250*'Cost Input'!$F$81*24*'Cost Input'!$F$94*I$184/Dashboard!F$110*(1-Lists!$C$154)</f>
        <v>0.86188629171964071</v>
      </c>
      <c r="J315" s="815">
        <f ca="1">'Manufacturing Costs'!J250*'Cost Input'!$F$81*24*'Cost Input'!$F$94*J$184/Dashboard!G$110*(1-Lists!$C$154)</f>
        <v>0.86188629171964071</v>
      </c>
      <c r="K315" s="815">
        <f ca="1">'Manufacturing Costs'!K250*'Cost Input'!$F$81*24*'Cost Input'!$F$94*K$184/Dashboard!H$110*(1-Lists!$C$154)</f>
        <v>0.86188629171964071</v>
      </c>
      <c r="L315" s="815">
        <f ca="1">'Manufacturing Costs'!L250*'Cost Input'!$F$81*24*'Cost Input'!$F$94*L$184/Dashboard!I$110*(1-Lists!$C$154)</f>
        <v>0.86188629171964071</v>
      </c>
      <c r="M315" s="815">
        <f ca="1">'Manufacturing Costs'!M250*'Cost Input'!$F$81*24*'Cost Input'!$F$94*M$184/Dashboard!J$110*(1-Lists!$C$154)</f>
        <v>0.86188629171964071</v>
      </c>
      <c r="N315" s="562"/>
    </row>
    <row r="316" spans="2:14" outlineLevel="1" x14ac:dyDescent="0.15">
      <c r="C316" s="8" t="s">
        <v>1676</v>
      </c>
      <c r="D316" s="26"/>
      <c r="E316" s="26"/>
      <c r="F316" s="26"/>
      <c r="G316" s="815">
        <f ca="1">SUM(G312:G315)</f>
        <v>32.138497361756428</v>
      </c>
      <c r="H316" s="815">
        <f t="shared" ref="H316:M316" ca="1" si="120">SUM(H312:H315)</f>
        <v>32.138497361756428</v>
      </c>
      <c r="I316" s="815">
        <f t="shared" ca="1" si="120"/>
        <v>32.138497361756428</v>
      </c>
      <c r="J316" s="815">
        <f t="shared" ca="1" si="120"/>
        <v>32.138497361756428</v>
      </c>
      <c r="K316" s="815">
        <f t="shared" ca="1" si="120"/>
        <v>32.138497361756428</v>
      </c>
      <c r="L316" s="815">
        <f t="shared" ca="1" si="120"/>
        <v>32.138497361756428</v>
      </c>
      <c r="M316" s="815">
        <f t="shared" ca="1" si="120"/>
        <v>32.138497361756428</v>
      </c>
      <c r="N316" s="562"/>
    </row>
    <row r="317" spans="2:14" outlineLevel="1" x14ac:dyDescent="0.15">
      <c r="C317" s="8"/>
      <c r="D317" s="26"/>
      <c r="E317" s="26"/>
      <c r="F317" s="26"/>
      <c r="G317" s="367"/>
      <c r="H317" s="367"/>
      <c r="I317" s="367"/>
      <c r="J317" s="367"/>
      <c r="K317" s="367"/>
      <c r="L317" s="367"/>
      <c r="M317" s="367"/>
      <c r="N317" s="562"/>
    </row>
    <row r="318" spans="2:14" outlineLevel="1" x14ac:dyDescent="0.15">
      <c r="B318" s="225" t="s">
        <v>1185</v>
      </c>
      <c r="D318" s="26"/>
      <c r="E318" s="26"/>
      <c r="F318" s="26"/>
      <c r="G318" s="367"/>
      <c r="H318" s="367"/>
      <c r="I318" s="367"/>
      <c r="J318" s="367"/>
      <c r="K318" s="367"/>
      <c r="L318" s="367"/>
      <c r="M318" s="367"/>
      <c r="N318" s="562"/>
    </row>
    <row r="319" spans="2:14" outlineLevel="1" x14ac:dyDescent="0.15">
      <c r="C319" s="8" t="s">
        <v>1673</v>
      </c>
      <c r="D319" s="26"/>
      <c r="E319" s="26"/>
      <c r="F319" s="26"/>
      <c r="G319" s="815">
        <f ca="1">'Manufacturing Costs'!G254*'Cost Input'!$F$93*G$181/Dashboard!D$110*(1-Lists!$C$154)*(1-Lists!$D$154)</f>
        <v>20.074256271782755</v>
      </c>
      <c r="H319" s="815">
        <f ca="1">'Manufacturing Costs'!H254*'Cost Input'!$F$93*H$181/Dashboard!E$110*(1-Lists!$C$154)*(1-Lists!$D$154)</f>
        <v>20.074256271782755</v>
      </c>
      <c r="I319" s="815">
        <f ca="1">'Manufacturing Costs'!I254*'Cost Input'!$F$93*I$181/Dashboard!F$110*(1-Lists!$C$154)*(1-Lists!$D$154)</f>
        <v>20.074256271782755</v>
      </c>
      <c r="J319" s="815">
        <f ca="1">'Manufacturing Costs'!J254*'Cost Input'!$F$93*J$181/Dashboard!G$110*(1-Lists!$C$154)*(1-Lists!$D$154)</f>
        <v>20.074256271782755</v>
      </c>
      <c r="K319" s="815">
        <f ca="1">'Manufacturing Costs'!K254*'Cost Input'!$F$93*K$181/Dashboard!H$110*(1-Lists!$C$154)*(1-Lists!$D$154)</f>
        <v>20.074256271782755</v>
      </c>
      <c r="L319" s="815">
        <f ca="1">'Manufacturing Costs'!L254*'Cost Input'!$F$93*L$181/Dashboard!I$110*(1-Lists!$C$154)*(1-Lists!$D$154)</f>
        <v>20.074256271782755</v>
      </c>
      <c r="M319" s="815">
        <f ca="1">'Manufacturing Costs'!M254*'Cost Input'!$F$93*M$181/Dashboard!J$110*(1-Lists!$C$154)*(1-Lists!$D$154)</f>
        <v>20.074256271782755</v>
      </c>
      <c r="N319" s="562"/>
    </row>
    <row r="320" spans="2:14" outlineLevel="1" x14ac:dyDescent="0.15">
      <c r="C320" s="8" t="s">
        <v>1674</v>
      </c>
      <c r="D320" s="26"/>
      <c r="E320" s="26"/>
      <c r="F320" s="26"/>
      <c r="G320" s="815">
        <f ca="1">'Manufacturing Costs'!G255*1000000*G$182/Dashboard!D$110*(1-Lists!$C$154)*(1-Lists!$D$154)</f>
        <v>10.162839116036231</v>
      </c>
      <c r="H320" s="815">
        <f ca="1">'Manufacturing Costs'!H255*1000000*H$182/Dashboard!E$110*(1-Lists!$C$154)*(1-Lists!$D$154)</f>
        <v>10.162839116036231</v>
      </c>
      <c r="I320" s="815">
        <f ca="1">'Manufacturing Costs'!I255*1000000*I$182/Dashboard!F$110*(1-Lists!$C$154)*(1-Lists!$D$154)</f>
        <v>10.162839116036231</v>
      </c>
      <c r="J320" s="815">
        <f ca="1">'Manufacturing Costs'!J255*1000000*J$182/Dashboard!G$110*(1-Lists!$C$154)*(1-Lists!$D$154)</f>
        <v>10.162839116036231</v>
      </c>
      <c r="K320" s="815">
        <f ca="1">'Manufacturing Costs'!K255*1000000*K$182/Dashboard!H$110*(1-Lists!$C$154)*(1-Lists!$D$154)</f>
        <v>10.162839116036231</v>
      </c>
      <c r="L320" s="815">
        <f ca="1">'Manufacturing Costs'!L255*1000000*L$182/Dashboard!I$110*(1-Lists!$C$154)*(1-Lists!$D$154)</f>
        <v>10.162839116036231</v>
      </c>
      <c r="M320" s="815">
        <f ca="1">'Manufacturing Costs'!M255*1000000*M$182/Dashboard!J$110*(1-Lists!$C$154)*(1-Lists!$D$154)</f>
        <v>10.162839116036231</v>
      </c>
      <c r="N320" s="562"/>
    </row>
    <row r="321" spans="2:14" outlineLevel="1" x14ac:dyDescent="0.15">
      <c r="C321" s="8" t="s">
        <v>1675</v>
      </c>
      <c r="D321" s="26"/>
      <c r="E321" s="26"/>
      <c r="F321" s="26"/>
      <c r="G321" s="815">
        <f ca="1">'Manufacturing Costs'!G256*'Cost Input'!$F$84*G$183/Dashboard!D$110*(1-Lists!$C$154)*(1-Lists!$D$154)</f>
        <v>0.94420382520923785</v>
      </c>
      <c r="H321" s="815">
        <f ca="1">'Manufacturing Costs'!H256*'Cost Input'!$F$84*H$183/Dashboard!E$110*(1-Lists!$C$154)*(1-Lists!$D$154)</f>
        <v>0.94420382520923785</v>
      </c>
      <c r="I321" s="815">
        <f ca="1">'Manufacturing Costs'!I256*'Cost Input'!$F$84*I$183/Dashboard!F$110*(1-Lists!$C$154)*(1-Lists!$D$154)</f>
        <v>0.94420382520923785</v>
      </c>
      <c r="J321" s="815">
        <f ca="1">'Manufacturing Costs'!J256*'Cost Input'!$F$84*J$183/Dashboard!G$110*(1-Lists!$C$154)*(1-Lists!$D$154)</f>
        <v>0.94420382520923785</v>
      </c>
      <c r="K321" s="815">
        <f ca="1">'Manufacturing Costs'!K256*'Cost Input'!$F$84*K$183/Dashboard!H$110*(1-Lists!$C$154)*(1-Lists!$D$154)</f>
        <v>0.94420382520923785</v>
      </c>
      <c r="L321" s="815">
        <f ca="1">'Manufacturing Costs'!L256*'Cost Input'!$F$84*L$183/Dashboard!I$110*(1-Lists!$C$154)*(1-Lists!$D$154)</f>
        <v>0.94420382520923785</v>
      </c>
      <c r="M321" s="815">
        <f ca="1">'Manufacturing Costs'!M256*'Cost Input'!$F$84*M$183/Dashboard!J$110*(1-Lists!$C$154)*(1-Lists!$D$154)</f>
        <v>0.94420382520923785</v>
      </c>
      <c r="N321" s="562"/>
    </row>
    <row r="322" spans="2:14" outlineLevel="1" x14ac:dyDescent="0.15">
      <c r="C322" s="8" t="s">
        <v>1536</v>
      </c>
      <c r="D322" s="26"/>
      <c r="E322" s="26"/>
      <c r="F322" s="26"/>
      <c r="G322" s="815">
        <f ca="1">'Manufacturing Costs'!G257*'Cost Input'!$F$81*24*'Cost Input'!$F$94*G$184/Dashboard!D$110*(1-Lists!$C$154)</f>
        <v>0.91232473148386939</v>
      </c>
      <c r="H322" s="815">
        <f ca="1">'Manufacturing Costs'!H257*'Cost Input'!$F$81*24*'Cost Input'!$F$94*H$184/Dashboard!E$110*(1-Lists!$C$154)</f>
        <v>0.91232473148386939</v>
      </c>
      <c r="I322" s="815">
        <f ca="1">'Manufacturing Costs'!I257*'Cost Input'!$F$81*24*'Cost Input'!$F$94*I$184/Dashboard!F$110*(1-Lists!$C$154)</f>
        <v>0.91232473148386939</v>
      </c>
      <c r="J322" s="815">
        <f ca="1">'Manufacturing Costs'!J257*'Cost Input'!$F$81*24*'Cost Input'!$F$94*J$184/Dashboard!G$110*(1-Lists!$C$154)</f>
        <v>0.91232473148386939</v>
      </c>
      <c r="K322" s="815">
        <f ca="1">'Manufacturing Costs'!K257*'Cost Input'!$F$81*24*'Cost Input'!$F$94*K$184/Dashboard!H$110*(1-Lists!$C$154)</f>
        <v>0.91232473148386939</v>
      </c>
      <c r="L322" s="815">
        <f ca="1">'Manufacturing Costs'!L257*'Cost Input'!$F$81*24*'Cost Input'!$F$94*L$184/Dashboard!I$110*(1-Lists!$C$154)</f>
        <v>0.91232473148386939</v>
      </c>
      <c r="M322" s="815">
        <f ca="1">'Manufacturing Costs'!M257*'Cost Input'!$F$81*24*'Cost Input'!$F$94*M$184/Dashboard!J$110*(1-Lists!$C$154)</f>
        <v>0.91232473148386939</v>
      </c>
      <c r="N322" s="562"/>
    </row>
    <row r="323" spans="2:14" outlineLevel="1" x14ac:dyDescent="0.15">
      <c r="C323" s="8" t="s">
        <v>1676</v>
      </c>
      <c r="D323" s="26"/>
      <c r="E323" s="26"/>
      <c r="F323" s="26"/>
      <c r="G323" s="815">
        <f ca="1">SUM(G319:G322)</f>
        <v>32.093623944512096</v>
      </c>
      <c r="H323" s="815">
        <f t="shared" ref="H323:M323" ca="1" si="121">SUM(H319:H322)</f>
        <v>32.093623944512096</v>
      </c>
      <c r="I323" s="815">
        <f t="shared" ca="1" si="121"/>
        <v>32.093623944512096</v>
      </c>
      <c r="J323" s="815">
        <f t="shared" ca="1" si="121"/>
        <v>32.093623944512096</v>
      </c>
      <c r="K323" s="815">
        <f t="shared" ca="1" si="121"/>
        <v>32.093623944512096</v>
      </c>
      <c r="L323" s="815">
        <f t="shared" ca="1" si="121"/>
        <v>32.093623944512096</v>
      </c>
      <c r="M323" s="815">
        <f t="shared" ca="1" si="121"/>
        <v>32.093623944512096</v>
      </c>
      <c r="N323" s="562"/>
    </row>
    <row r="324" spans="2:14" outlineLevel="1" x14ac:dyDescent="0.15">
      <c r="C324" s="8"/>
      <c r="D324" s="26"/>
      <c r="E324" s="26"/>
      <c r="F324" s="26"/>
      <c r="G324" s="367"/>
      <c r="H324" s="367"/>
      <c r="I324" s="367"/>
      <c r="J324" s="367"/>
      <c r="K324" s="367"/>
      <c r="L324" s="367"/>
      <c r="M324" s="367"/>
      <c r="N324" s="562"/>
    </row>
    <row r="325" spans="2:14" outlineLevel="1" x14ac:dyDescent="0.15">
      <c r="B325" s="225" t="s">
        <v>1681</v>
      </c>
      <c r="D325" s="26"/>
      <c r="E325" s="26"/>
      <c r="F325" s="26"/>
      <c r="G325" s="367"/>
      <c r="H325" s="367"/>
      <c r="I325" s="367"/>
      <c r="J325" s="367"/>
      <c r="K325" s="367"/>
      <c r="L325" s="367"/>
      <c r="M325" s="367"/>
      <c r="N325" s="562"/>
    </row>
    <row r="326" spans="2:14" outlineLevel="1" x14ac:dyDescent="0.15">
      <c r="C326" s="8" t="s">
        <v>1673</v>
      </c>
      <c r="D326" s="26"/>
      <c r="E326" s="26"/>
      <c r="F326" s="26"/>
      <c r="G326" s="815">
        <f ca="1">G312+G319</f>
        <v>40.204086951665403</v>
      </c>
      <c r="H326" s="815">
        <f t="shared" ref="H326:M326" ca="1" si="122">H312+H319</f>
        <v>40.204086951665403</v>
      </c>
      <c r="I326" s="815">
        <f t="shared" ca="1" si="122"/>
        <v>40.204086951665403</v>
      </c>
      <c r="J326" s="815">
        <f t="shared" ca="1" si="122"/>
        <v>40.204086951665403</v>
      </c>
      <c r="K326" s="815">
        <f t="shared" ca="1" si="122"/>
        <v>40.204086951665403</v>
      </c>
      <c r="L326" s="815">
        <f t="shared" ca="1" si="122"/>
        <v>40.204086951665403</v>
      </c>
      <c r="M326" s="815">
        <f t="shared" ca="1" si="122"/>
        <v>40.204086951665403</v>
      </c>
      <c r="N326" s="562"/>
    </row>
    <row r="327" spans="2:14" outlineLevel="1" x14ac:dyDescent="0.15">
      <c r="C327" s="8" t="s">
        <v>1674</v>
      </c>
      <c r="D327" s="26"/>
      <c r="E327" s="26"/>
      <c r="F327" s="26"/>
      <c r="G327" s="815">
        <f ca="1">G313+G320</f>
        <v>20.3618663931329</v>
      </c>
      <c r="H327" s="815">
        <f t="shared" ref="H327:M327" ca="1" si="123">H313+H320</f>
        <v>20.3618663931329</v>
      </c>
      <c r="I327" s="815">
        <f t="shared" ca="1" si="123"/>
        <v>20.3618663931329</v>
      </c>
      <c r="J327" s="815">
        <f t="shared" ca="1" si="123"/>
        <v>20.3618663931329</v>
      </c>
      <c r="K327" s="815">
        <f t="shared" ca="1" si="123"/>
        <v>20.3618663931329</v>
      </c>
      <c r="L327" s="815">
        <f t="shared" ca="1" si="123"/>
        <v>20.3618663931329</v>
      </c>
      <c r="M327" s="815">
        <f t="shared" ca="1" si="123"/>
        <v>20.3618663931329</v>
      </c>
      <c r="N327" s="562"/>
    </row>
    <row r="328" spans="2:14" outlineLevel="1" x14ac:dyDescent="0.15">
      <c r="C328" s="8" t="s">
        <v>1675</v>
      </c>
      <c r="D328" s="26"/>
      <c r="E328" s="26"/>
      <c r="F328" s="26"/>
      <c r="G328" s="815">
        <f ca="1">G314+G321</f>
        <v>1.8919569382667083</v>
      </c>
      <c r="H328" s="815">
        <f t="shared" ref="H328:M328" ca="1" si="124">H314+H321</f>
        <v>1.8919569382667083</v>
      </c>
      <c r="I328" s="815">
        <f t="shared" ca="1" si="124"/>
        <v>1.8919569382667083</v>
      </c>
      <c r="J328" s="815">
        <f t="shared" ca="1" si="124"/>
        <v>1.8919569382667083</v>
      </c>
      <c r="K328" s="815">
        <f t="shared" ca="1" si="124"/>
        <v>1.8919569382667083</v>
      </c>
      <c r="L328" s="815">
        <f t="shared" ca="1" si="124"/>
        <v>1.8919569382667083</v>
      </c>
      <c r="M328" s="815">
        <f t="shared" ca="1" si="124"/>
        <v>1.8919569382667083</v>
      </c>
      <c r="N328" s="562"/>
    </row>
    <row r="329" spans="2:14" outlineLevel="1" x14ac:dyDescent="0.15">
      <c r="C329" s="8" t="s">
        <v>1536</v>
      </c>
      <c r="D329" s="26"/>
      <c r="E329" s="26"/>
      <c r="F329" s="26"/>
      <c r="G329" s="815">
        <f ca="1">G315+G322</f>
        <v>1.77421102320351</v>
      </c>
      <c r="H329" s="815">
        <f t="shared" ref="H329:M329" ca="1" si="125">H315+H322</f>
        <v>1.77421102320351</v>
      </c>
      <c r="I329" s="815">
        <f t="shared" ca="1" si="125"/>
        <v>1.77421102320351</v>
      </c>
      <c r="J329" s="815">
        <f t="shared" ca="1" si="125"/>
        <v>1.77421102320351</v>
      </c>
      <c r="K329" s="815">
        <f t="shared" ca="1" si="125"/>
        <v>1.77421102320351</v>
      </c>
      <c r="L329" s="815">
        <f t="shared" ca="1" si="125"/>
        <v>1.77421102320351</v>
      </c>
      <c r="M329" s="815">
        <f t="shared" ca="1" si="125"/>
        <v>1.77421102320351</v>
      </c>
      <c r="N329" s="562"/>
    </row>
    <row r="330" spans="2:14" outlineLevel="1" x14ac:dyDescent="0.15">
      <c r="C330" s="8" t="s">
        <v>1676</v>
      </c>
      <c r="D330" s="26"/>
      <c r="E330" s="26"/>
      <c r="F330" s="26"/>
      <c r="G330" s="815">
        <f ca="1">G316+G323</f>
        <v>64.232121306268525</v>
      </c>
      <c r="H330" s="815">
        <f t="shared" ref="H330:M330" ca="1" si="126">H316+H323</f>
        <v>64.232121306268525</v>
      </c>
      <c r="I330" s="815">
        <f t="shared" ca="1" si="126"/>
        <v>64.232121306268525</v>
      </c>
      <c r="J330" s="815">
        <f t="shared" ca="1" si="126"/>
        <v>64.232121306268525</v>
      </c>
      <c r="K330" s="815">
        <f t="shared" ca="1" si="126"/>
        <v>64.232121306268525</v>
      </c>
      <c r="L330" s="815">
        <f t="shared" ca="1" si="126"/>
        <v>64.232121306268525</v>
      </c>
      <c r="M330" s="815">
        <f t="shared" ca="1" si="126"/>
        <v>64.232121306268525</v>
      </c>
      <c r="N330" s="562"/>
    </row>
    <row r="331" spans="2:14" outlineLevel="1" x14ac:dyDescent="0.15">
      <c r="C331" s="8"/>
      <c r="D331" s="26"/>
      <c r="E331" s="26"/>
      <c r="F331" s="26"/>
      <c r="G331" s="367"/>
      <c r="H331" s="367"/>
      <c r="I331" s="367"/>
      <c r="J331" s="367"/>
      <c r="K331" s="367"/>
      <c r="L331" s="367"/>
      <c r="M331" s="367"/>
      <c r="N331" s="562"/>
    </row>
    <row r="332" spans="2:14" ht="14" outlineLevel="1" x14ac:dyDescent="0.15">
      <c r="B332" s="507" t="s">
        <v>1189</v>
      </c>
      <c r="C332" s="8"/>
      <c r="D332" s="26"/>
      <c r="E332" s="26"/>
      <c r="F332" s="26"/>
      <c r="G332" s="367"/>
      <c r="H332" s="367"/>
      <c r="I332" s="367"/>
      <c r="J332" s="367"/>
      <c r="K332" s="367"/>
      <c r="L332" s="367"/>
      <c r="M332" s="367"/>
      <c r="N332" s="562"/>
    </row>
    <row r="333" spans="2:14" outlineLevel="1" x14ac:dyDescent="0.15">
      <c r="B333" s="225" t="s">
        <v>1179</v>
      </c>
      <c r="D333" s="26"/>
      <c r="E333" s="26"/>
      <c r="F333" s="26"/>
      <c r="G333" s="367"/>
      <c r="H333" s="367"/>
      <c r="I333" s="367"/>
      <c r="J333" s="367"/>
      <c r="K333" s="367"/>
      <c r="L333" s="367"/>
      <c r="M333" s="367"/>
      <c r="N333" s="562"/>
    </row>
    <row r="334" spans="2:14" outlineLevel="1" x14ac:dyDescent="0.15">
      <c r="C334" s="8" t="s">
        <v>1673</v>
      </c>
      <c r="D334" s="26"/>
      <c r="E334" s="26"/>
      <c r="F334" s="26"/>
      <c r="G334" s="815">
        <f ca="1">'Manufacturing Costs'!G262*'Cost Input'!$F$93*G$181/Dashboard!D$110*(1-Lists!$C$154)*(1-Lists!$D$154)</f>
        <v>3.3012922315007538</v>
      </c>
      <c r="H334" s="815">
        <f ca="1">'Manufacturing Costs'!H262*'Cost Input'!$F$93*H$181/Dashboard!E$110*(1-Lists!$C$154)*(1-Lists!$D$154)</f>
        <v>3.3012922315007538</v>
      </c>
      <c r="I334" s="815">
        <f ca="1">'Manufacturing Costs'!I262*'Cost Input'!$F$93*I$181/Dashboard!F$110*(1-Lists!$C$154)*(1-Lists!$D$154)</f>
        <v>3.3012922315007538</v>
      </c>
      <c r="J334" s="815">
        <f ca="1">'Manufacturing Costs'!J262*'Cost Input'!$F$93*J$181/Dashboard!G$110*(1-Lists!$C$154)*(1-Lists!$D$154)</f>
        <v>3.3012922315007538</v>
      </c>
      <c r="K334" s="815">
        <f ca="1">'Manufacturing Costs'!K262*'Cost Input'!$F$93*K$181/Dashboard!H$110*(1-Lists!$C$154)*(1-Lists!$D$154)</f>
        <v>3.3012922315007538</v>
      </c>
      <c r="L334" s="815">
        <f ca="1">'Manufacturing Costs'!L262*'Cost Input'!$F$93*L$181/Dashboard!I$110*(1-Lists!$C$154)*(1-Lists!$D$154)</f>
        <v>3.3012922315007538</v>
      </c>
      <c r="M334" s="815">
        <f ca="1">'Manufacturing Costs'!M262*'Cost Input'!$F$93*M$181/Dashboard!J$110*(1-Lists!$C$154)*(1-Lists!$D$154)</f>
        <v>3.3012922315007538</v>
      </c>
      <c r="N334" s="562"/>
    </row>
    <row r="335" spans="2:14" outlineLevel="1" x14ac:dyDescent="0.15">
      <c r="C335" s="8" t="s">
        <v>1674</v>
      </c>
      <c r="D335" s="26"/>
      <c r="E335" s="26"/>
      <c r="F335" s="26"/>
      <c r="G335" s="815">
        <f ca="1">'Manufacturing Costs'!G263*1000000*G$182/Dashboard!D$110*(1-Lists!$C$154)*(1-Lists!$D$154)</f>
        <v>5.2483058136783924</v>
      </c>
      <c r="H335" s="815">
        <f ca="1">'Manufacturing Costs'!H263*1000000*H$182/Dashboard!E$110*(1-Lists!$C$154)*(1-Lists!$D$154)</f>
        <v>5.2483058136783924</v>
      </c>
      <c r="I335" s="815">
        <f ca="1">'Manufacturing Costs'!I263*1000000*I$182/Dashboard!F$110*(1-Lists!$C$154)*(1-Lists!$D$154)</f>
        <v>5.2483058136783924</v>
      </c>
      <c r="J335" s="815">
        <f ca="1">'Manufacturing Costs'!J263*1000000*J$182/Dashboard!G$110*(1-Lists!$C$154)*(1-Lists!$D$154)</f>
        <v>5.2483058136783924</v>
      </c>
      <c r="K335" s="815">
        <f ca="1">'Manufacturing Costs'!K263*1000000*K$182/Dashboard!H$110*(1-Lists!$C$154)*(1-Lists!$D$154)</f>
        <v>5.2483058136783924</v>
      </c>
      <c r="L335" s="815">
        <f ca="1">'Manufacturing Costs'!L263*1000000*L$182/Dashboard!I$110*(1-Lists!$C$154)*(1-Lists!$D$154)</f>
        <v>5.2483058136783924</v>
      </c>
      <c r="M335" s="815">
        <f ca="1">'Manufacturing Costs'!M263*1000000*M$182/Dashboard!J$110*(1-Lists!$C$154)*(1-Lists!$D$154)</f>
        <v>5.2483058136783924</v>
      </c>
      <c r="N335" s="562"/>
    </row>
    <row r="336" spans="2:14" outlineLevel="1" x14ac:dyDescent="0.15">
      <c r="C336" s="8" t="s">
        <v>1675</v>
      </c>
      <c r="D336" s="26"/>
      <c r="E336" s="26"/>
      <c r="F336" s="26"/>
      <c r="G336" s="815">
        <f ca="1">'Manufacturing Costs'!G264*'Cost Input'!$F$84*G$183/Dashboard!D$110*(1-Lists!$C$154)*(1-Lists!$D$154)</f>
        <v>0.53311112609482703</v>
      </c>
      <c r="H336" s="815">
        <f ca="1">'Manufacturing Costs'!H264*'Cost Input'!$F$84*H$183/Dashboard!E$110*(1-Lists!$C$154)*(1-Lists!$D$154)</f>
        <v>0.53311112609482703</v>
      </c>
      <c r="I336" s="815">
        <f ca="1">'Manufacturing Costs'!I264*'Cost Input'!$F$84*I$183/Dashboard!F$110*(1-Lists!$C$154)*(1-Lists!$D$154)</f>
        <v>0.53311112609482703</v>
      </c>
      <c r="J336" s="815">
        <f ca="1">'Manufacturing Costs'!J264*'Cost Input'!$F$84*J$183/Dashboard!G$110*(1-Lists!$C$154)*(1-Lists!$D$154)</f>
        <v>0.53311112609482703</v>
      </c>
      <c r="K336" s="815">
        <f ca="1">'Manufacturing Costs'!K264*'Cost Input'!$F$84*K$183/Dashboard!H$110*(1-Lists!$C$154)*(1-Lists!$D$154)</f>
        <v>0.53311112609482703</v>
      </c>
      <c r="L336" s="815">
        <f ca="1">'Manufacturing Costs'!L264*'Cost Input'!$F$84*L$183/Dashboard!I$110*(1-Lists!$C$154)*(1-Lists!$D$154)</f>
        <v>0.53311112609482703</v>
      </c>
      <c r="M336" s="815">
        <f ca="1">'Manufacturing Costs'!M264*'Cost Input'!$F$84*M$183/Dashboard!J$110*(1-Lists!$C$154)*(1-Lists!$D$154)</f>
        <v>0.53311112609482703</v>
      </c>
      <c r="N336" s="562"/>
    </row>
    <row r="337" spans="2:14" outlineLevel="1" x14ac:dyDescent="0.15">
      <c r="C337" s="8" t="s">
        <v>1536</v>
      </c>
      <c r="D337" s="26"/>
      <c r="E337" s="26"/>
      <c r="F337" s="26"/>
      <c r="G337" s="815">
        <f ca="1">'Manufacturing Costs'!G265*'Cost Input'!$F$81*24*'Cost Input'!$F$94*G$184/Dashboard!D$110*(1-Lists!$C$154)</f>
        <v>1.4304066305863972</v>
      </c>
      <c r="H337" s="815">
        <f ca="1">'Manufacturing Costs'!H265*'Cost Input'!$F$81*24*'Cost Input'!$F$94*H$184/Dashboard!E$110*(1-Lists!$C$154)</f>
        <v>1.4304066305863972</v>
      </c>
      <c r="I337" s="815">
        <f ca="1">'Manufacturing Costs'!I265*'Cost Input'!$F$81*24*'Cost Input'!$F$94*I$184/Dashboard!F$110*(1-Lists!$C$154)</f>
        <v>1.4304066305863972</v>
      </c>
      <c r="J337" s="815">
        <f ca="1">'Manufacturing Costs'!J265*'Cost Input'!$F$81*24*'Cost Input'!$F$94*J$184/Dashboard!G$110*(1-Lists!$C$154)</f>
        <v>1.4304066305863972</v>
      </c>
      <c r="K337" s="815">
        <f ca="1">'Manufacturing Costs'!K265*'Cost Input'!$F$81*24*'Cost Input'!$F$94*K$184/Dashboard!H$110*(1-Lists!$C$154)</f>
        <v>1.4304066305863972</v>
      </c>
      <c r="L337" s="815">
        <f ca="1">'Manufacturing Costs'!L265*'Cost Input'!$F$81*24*'Cost Input'!$F$94*L$184/Dashboard!I$110*(1-Lists!$C$154)</f>
        <v>1.4304066305863972</v>
      </c>
      <c r="M337" s="815">
        <f ca="1">'Manufacturing Costs'!M265*'Cost Input'!$F$81*24*'Cost Input'!$F$94*M$184/Dashboard!J$110*(1-Lists!$C$154)</f>
        <v>1.4304066305863972</v>
      </c>
      <c r="N337" s="562"/>
    </row>
    <row r="338" spans="2:14" outlineLevel="1" x14ac:dyDescent="0.15">
      <c r="C338" s="8" t="s">
        <v>1676</v>
      </c>
      <c r="D338" s="26"/>
      <c r="E338" s="26"/>
      <c r="F338" s="26"/>
      <c r="G338" s="815">
        <f ca="1">SUM(G334:G337)</f>
        <v>10.513115801860369</v>
      </c>
      <c r="H338" s="815">
        <f t="shared" ref="H338:M338" ca="1" si="127">SUM(H334:H337)</f>
        <v>10.513115801860369</v>
      </c>
      <c r="I338" s="815">
        <f t="shared" ca="1" si="127"/>
        <v>10.513115801860369</v>
      </c>
      <c r="J338" s="815">
        <f t="shared" ca="1" si="127"/>
        <v>10.513115801860369</v>
      </c>
      <c r="K338" s="815">
        <f t="shared" ca="1" si="127"/>
        <v>10.513115801860369</v>
      </c>
      <c r="L338" s="815">
        <f t="shared" ca="1" si="127"/>
        <v>10.513115801860369</v>
      </c>
      <c r="M338" s="815">
        <f t="shared" ca="1" si="127"/>
        <v>10.513115801860369</v>
      </c>
      <c r="N338" s="562"/>
    </row>
    <row r="339" spans="2:14" outlineLevel="1" x14ac:dyDescent="0.15">
      <c r="C339" s="8"/>
      <c r="D339" s="26"/>
      <c r="E339" s="26"/>
      <c r="F339" s="26"/>
      <c r="G339" s="367"/>
      <c r="H339" s="367"/>
      <c r="I339" s="367"/>
      <c r="J339" s="367"/>
      <c r="K339" s="367"/>
      <c r="L339" s="367"/>
      <c r="M339" s="367"/>
      <c r="N339" s="562"/>
    </row>
    <row r="340" spans="2:14" outlineLevel="1" x14ac:dyDescent="0.15">
      <c r="B340" s="225" t="s">
        <v>1185</v>
      </c>
      <c r="D340" s="26"/>
      <c r="E340" s="26"/>
      <c r="F340" s="26"/>
      <c r="G340" s="367"/>
      <c r="H340" s="367"/>
      <c r="I340" s="367"/>
      <c r="J340" s="367"/>
      <c r="K340" s="367"/>
      <c r="L340" s="367"/>
      <c r="M340" s="367"/>
      <c r="N340" s="562"/>
    </row>
    <row r="341" spans="2:14" outlineLevel="1" x14ac:dyDescent="0.15">
      <c r="C341" s="8" t="s">
        <v>1673</v>
      </c>
      <c r="D341" s="26"/>
      <c r="E341" s="26"/>
      <c r="F341" s="26"/>
      <c r="G341" s="815">
        <f ca="1">'Manufacturing Costs'!G269*'Cost Input'!$F$93*G$181/Dashboard!D$110*(1-Lists!$C$154)*(1-Lists!$D$154)</f>
        <v>2.8103958780495861</v>
      </c>
      <c r="H341" s="815">
        <f ca="1">'Manufacturing Costs'!H269*'Cost Input'!$F$93*H$181/Dashboard!E$110*(1-Lists!$C$154)*(1-Lists!$D$154)</f>
        <v>2.8103958780495861</v>
      </c>
      <c r="I341" s="815">
        <f ca="1">'Manufacturing Costs'!I269*'Cost Input'!$F$93*I$181/Dashboard!F$110*(1-Lists!$C$154)*(1-Lists!$D$154)</f>
        <v>2.8103958780495861</v>
      </c>
      <c r="J341" s="815">
        <f ca="1">'Manufacturing Costs'!J269*'Cost Input'!$F$93*J$181/Dashboard!G$110*(1-Lists!$C$154)*(1-Lists!$D$154)</f>
        <v>2.8103958780495861</v>
      </c>
      <c r="K341" s="815">
        <f ca="1">'Manufacturing Costs'!K269*'Cost Input'!$F$93*K$181/Dashboard!H$110*(1-Lists!$C$154)*(1-Lists!$D$154)</f>
        <v>2.8103958780495861</v>
      </c>
      <c r="L341" s="815">
        <f ca="1">'Manufacturing Costs'!L269*'Cost Input'!$F$93*L$181/Dashboard!I$110*(1-Lists!$C$154)*(1-Lists!$D$154)</f>
        <v>2.8103958780495861</v>
      </c>
      <c r="M341" s="815">
        <f ca="1">'Manufacturing Costs'!M269*'Cost Input'!$F$93*M$181/Dashboard!J$110*(1-Lists!$C$154)*(1-Lists!$D$154)</f>
        <v>2.8103958780495861</v>
      </c>
      <c r="N341" s="562"/>
    </row>
    <row r="342" spans="2:14" outlineLevel="1" x14ac:dyDescent="0.15">
      <c r="C342" s="8" t="s">
        <v>1674</v>
      </c>
      <c r="D342" s="26"/>
      <c r="E342" s="26"/>
      <c r="F342" s="26"/>
      <c r="G342" s="815">
        <f ca="1">'Manufacturing Costs'!G270*1000000*G$182/Dashboard!D$110*(1-Lists!$C$154)*(1-Lists!$D$154)</f>
        <v>4.1090372629066527</v>
      </c>
      <c r="H342" s="815">
        <f ca="1">'Manufacturing Costs'!H270*1000000*H$182/Dashboard!E$110*(1-Lists!$C$154)*(1-Lists!$D$154)</f>
        <v>4.1090372629066527</v>
      </c>
      <c r="I342" s="815">
        <f ca="1">'Manufacturing Costs'!I270*1000000*I$182/Dashboard!F$110*(1-Lists!$C$154)*(1-Lists!$D$154)</f>
        <v>4.1090372629066527</v>
      </c>
      <c r="J342" s="815">
        <f ca="1">'Manufacturing Costs'!J270*1000000*J$182/Dashboard!G$110*(1-Lists!$C$154)*(1-Lists!$D$154)</f>
        <v>4.1090372629066527</v>
      </c>
      <c r="K342" s="815">
        <f ca="1">'Manufacturing Costs'!K270*1000000*K$182/Dashboard!H$110*(1-Lists!$C$154)*(1-Lists!$D$154)</f>
        <v>4.1090372629066527</v>
      </c>
      <c r="L342" s="815">
        <f ca="1">'Manufacturing Costs'!L270*1000000*L$182/Dashboard!I$110*(1-Lists!$C$154)*(1-Lists!$D$154)</f>
        <v>4.1090372629066527</v>
      </c>
      <c r="M342" s="815">
        <f ca="1">'Manufacturing Costs'!M270*1000000*M$182/Dashboard!J$110*(1-Lists!$C$154)*(1-Lists!$D$154)</f>
        <v>4.1090372629066527</v>
      </c>
      <c r="N342" s="562"/>
    </row>
    <row r="343" spans="2:14" outlineLevel="1" x14ac:dyDescent="0.15">
      <c r="C343" s="8" t="s">
        <v>1675</v>
      </c>
      <c r="D343" s="26"/>
      <c r="E343" s="26"/>
      <c r="F343" s="26"/>
      <c r="G343" s="815">
        <f ca="1">'Manufacturing Costs'!G271*'Cost Input'!$F$84*G$183/Dashboard!D$110*(1-Lists!$C$154)*(1-Lists!$D$154)</f>
        <v>0.41308917352904156</v>
      </c>
      <c r="H343" s="815">
        <f ca="1">'Manufacturing Costs'!H271*'Cost Input'!$F$84*H$183/Dashboard!E$110*(1-Lists!$C$154)*(1-Lists!$D$154)</f>
        <v>0.41308917352904156</v>
      </c>
      <c r="I343" s="815">
        <f ca="1">'Manufacturing Costs'!I271*'Cost Input'!$F$84*I$183/Dashboard!F$110*(1-Lists!$C$154)*(1-Lists!$D$154)</f>
        <v>0.41308917352904156</v>
      </c>
      <c r="J343" s="815">
        <f ca="1">'Manufacturing Costs'!J271*'Cost Input'!$F$84*J$183/Dashboard!G$110*(1-Lists!$C$154)*(1-Lists!$D$154)</f>
        <v>0.41308917352904156</v>
      </c>
      <c r="K343" s="815">
        <f ca="1">'Manufacturing Costs'!K271*'Cost Input'!$F$84*K$183/Dashboard!H$110*(1-Lists!$C$154)*(1-Lists!$D$154)</f>
        <v>0.41308917352904156</v>
      </c>
      <c r="L343" s="815">
        <f ca="1">'Manufacturing Costs'!L271*'Cost Input'!$F$84*L$183/Dashboard!I$110*(1-Lists!$C$154)*(1-Lists!$D$154)</f>
        <v>0.41308917352904156</v>
      </c>
      <c r="M343" s="815">
        <f ca="1">'Manufacturing Costs'!M271*'Cost Input'!$F$84*M$183/Dashboard!J$110*(1-Lists!$C$154)*(1-Lists!$D$154)</f>
        <v>0.41308917352904156</v>
      </c>
      <c r="N343" s="562"/>
    </row>
    <row r="344" spans="2:14" outlineLevel="1" x14ac:dyDescent="0.15">
      <c r="C344" s="8" t="s">
        <v>1536</v>
      </c>
      <c r="D344" s="26"/>
      <c r="E344" s="26"/>
      <c r="F344" s="26"/>
      <c r="G344" s="815">
        <f ca="1">'Manufacturing Costs'!G272*'Cost Input'!$F$81*24*'Cost Input'!$F$94*G$184/Dashboard!D$110*(1-Lists!$C$154)</f>
        <v>1.2062877177372595</v>
      </c>
      <c r="H344" s="815">
        <f ca="1">'Manufacturing Costs'!H272*'Cost Input'!$F$81*24*'Cost Input'!$F$94*H$184/Dashboard!E$110*(1-Lists!$C$154)</f>
        <v>1.2062877177372595</v>
      </c>
      <c r="I344" s="815">
        <f ca="1">'Manufacturing Costs'!I272*'Cost Input'!$F$81*24*'Cost Input'!$F$94*I$184/Dashboard!F$110*(1-Lists!$C$154)</f>
        <v>1.2062877177372595</v>
      </c>
      <c r="J344" s="815">
        <f ca="1">'Manufacturing Costs'!J272*'Cost Input'!$F$81*24*'Cost Input'!$F$94*J$184/Dashboard!G$110*(1-Lists!$C$154)</f>
        <v>1.2062877177372595</v>
      </c>
      <c r="K344" s="815">
        <f ca="1">'Manufacturing Costs'!K272*'Cost Input'!$F$81*24*'Cost Input'!$F$94*K$184/Dashboard!H$110*(1-Lists!$C$154)</f>
        <v>1.2062877177372595</v>
      </c>
      <c r="L344" s="815">
        <f ca="1">'Manufacturing Costs'!L272*'Cost Input'!$F$81*24*'Cost Input'!$F$94*L$184/Dashboard!I$110*(1-Lists!$C$154)</f>
        <v>1.2062877177372595</v>
      </c>
      <c r="M344" s="815">
        <f ca="1">'Manufacturing Costs'!M272*'Cost Input'!$F$81*24*'Cost Input'!$F$94*M$184/Dashboard!J$110*(1-Lists!$C$154)</f>
        <v>1.2062877177372595</v>
      </c>
      <c r="N344" s="562"/>
    </row>
    <row r="345" spans="2:14" outlineLevel="1" x14ac:dyDescent="0.15">
      <c r="C345" s="8" t="s">
        <v>1676</v>
      </c>
      <c r="D345" s="26"/>
      <c r="E345" s="26"/>
      <c r="F345" s="26"/>
      <c r="G345" s="815">
        <f ca="1">SUM(G341:G344)</f>
        <v>8.5388100322225391</v>
      </c>
      <c r="H345" s="815">
        <f t="shared" ref="H345:M345" ca="1" si="128">SUM(H341:H344)</f>
        <v>8.5388100322225391</v>
      </c>
      <c r="I345" s="815">
        <f t="shared" ca="1" si="128"/>
        <v>8.5388100322225391</v>
      </c>
      <c r="J345" s="815">
        <f t="shared" ca="1" si="128"/>
        <v>8.5388100322225391</v>
      </c>
      <c r="K345" s="815">
        <f t="shared" ca="1" si="128"/>
        <v>8.5388100322225391</v>
      </c>
      <c r="L345" s="815">
        <f t="shared" ca="1" si="128"/>
        <v>8.5388100322225391</v>
      </c>
      <c r="M345" s="815">
        <f t="shared" ca="1" si="128"/>
        <v>8.5388100322225391</v>
      </c>
      <c r="N345" s="562"/>
    </row>
    <row r="346" spans="2:14" outlineLevel="1" x14ac:dyDescent="0.15">
      <c r="C346" s="8"/>
      <c r="D346" s="26"/>
      <c r="E346" s="26"/>
      <c r="F346" s="26"/>
      <c r="G346" s="815"/>
      <c r="H346" s="815"/>
      <c r="I346" s="815"/>
      <c r="J346" s="815"/>
      <c r="K346" s="815"/>
      <c r="L346" s="815"/>
      <c r="M346" s="815"/>
      <c r="N346" s="562"/>
    </row>
    <row r="347" spans="2:14" outlineLevel="1" x14ac:dyDescent="0.15">
      <c r="B347" s="225" t="s">
        <v>1682</v>
      </c>
      <c r="D347" s="26"/>
      <c r="E347" s="26"/>
      <c r="F347" s="26"/>
      <c r="G347" s="815"/>
      <c r="H347" s="815"/>
      <c r="I347" s="815"/>
      <c r="J347" s="815"/>
      <c r="K347" s="815"/>
      <c r="L347" s="815"/>
      <c r="M347" s="815"/>
      <c r="N347" s="562"/>
    </row>
    <row r="348" spans="2:14" outlineLevel="1" x14ac:dyDescent="0.15">
      <c r="C348" s="8" t="s">
        <v>1673</v>
      </c>
      <c r="D348" s="26"/>
      <c r="E348" s="26"/>
      <c r="F348" s="26"/>
      <c r="G348" s="815">
        <f ca="1">G334+G341</f>
        <v>6.1116881095503395</v>
      </c>
      <c r="H348" s="815">
        <f t="shared" ref="H348:M348" ca="1" si="129">H334+H341</f>
        <v>6.1116881095503395</v>
      </c>
      <c r="I348" s="815">
        <f t="shared" ca="1" si="129"/>
        <v>6.1116881095503395</v>
      </c>
      <c r="J348" s="815">
        <f t="shared" ca="1" si="129"/>
        <v>6.1116881095503395</v>
      </c>
      <c r="K348" s="815">
        <f t="shared" ca="1" si="129"/>
        <v>6.1116881095503395</v>
      </c>
      <c r="L348" s="815">
        <f t="shared" ca="1" si="129"/>
        <v>6.1116881095503395</v>
      </c>
      <c r="M348" s="815">
        <f t="shared" ca="1" si="129"/>
        <v>6.1116881095503395</v>
      </c>
      <c r="N348" s="562"/>
    </row>
    <row r="349" spans="2:14" outlineLevel="1" x14ac:dyDescent="0.15">
      <c r="C349" s="8" t="s">
        <v>1674</v>
      </c>
      <c r="D349" s="26"/>
      <c r="E349" s="26"/>
      <c r="F349" s="26"/>
      <c r="G349" s="815">
        <f ca="1">G335+G342</f>
        <v>9.357343076585046</v>
      </c>
      <c r="H349" s="815">
        <f t="shared" ref="H349:M349" ca="1" si="130">H335+H342</f>
        <v>9.357343076585046</v>
      </c>
      <c r="I349" s="815">
        <f t="shared" ca="1" si="130"/>
        <v>9.357343076585046</v>
      </c>
      <c r="J349" s="815">
        <f t="shared" ca="1" si="130"/>
        <v>9.357343076585046</v>
      </c>
      <c r="K349" s="815">
        <f t="shared" ca="1" si="130"/>
        <v>9.357343076585046</v>
      </c>
      <c r="L349" s="815">
        <f t="shared" ca="1" si="130"/>
        <v>9.357343076585046</v>
      </c>
      <c r="M349" s="815">
        <f t="shared" ca="1" si="130"/>
        <v>9.357343076585046</v>
      </c>
      <c r="N349" s="562"/>
    </row>
    <row r="350" spans="2:14" outlineLevel="1" x14ac:dyDescent="0.15">
      <c r="C350" s="8" t="s">
        <v>1675</v>
      </c>
      <c r="D350" s="26"/>
      <c r="E350" s="26"/>
      <c r="F350" s="26"/>
      <c r="G350" s="815">
        <f ca="1">G336+G343</f>
        <v>0.94620029962386853</v>
      </c>
      <c r="H350" s="815">
        <f t="shared" ref="H350:M350" ca="1" si="131">H336+H343</f>
        <v>0.94620029962386853</v>
      </c>
      <c r="I350" s="815">
        <f t="shared" ca="1" si="131"/>
        <v>0.94620029962386853</v>
      </c>
      <c r="J350" s="815">
        <f t="shared" ca="1" si="131"/>
        <v>0.94620029962386853</v>
      </c>
      <c r="K350" s="815">
        <f t="shared" ca="1" si="131"/>
        <v>0.94620029962386853</v>
      </c>
      <c r="L350" s="815">
        <f t="shared" ca="1" si="131"/>
        <v>0.94620029962386853</v>
      </c>
      <c r="M350" s="815">
        <f t="shared" ca="1" si="131"/>
        <v>0.94620029962386853</v>
      </c>
      <c r="N350" s="562"/>
    </row>
    <row r="351" spans="2:14" outlineLevel="1" x14ac:dyDescent="0.15">
      <c r="C351" s="8" t="s">
        <v>1536</v>
      </c>
      <c r="D351" s="26"/>
      <c r="E351" s="26"/>
      <c r="F351" s="26"/>
      <c r="G351" s="815">
        <f ca="1">G337+G344</f>
        <v>2.6366943483236565</v>
      </c>
      <c r="H351" s="815">
        <f t="shared" ref="H351:M351" ca="1" si="132">H337+H344</f>
        <v>2.6366943483236565</v>
      </c>
      <c r="I351" s="815">
        <f t="shared" ca="1" si="132"/>
        <v>2.6366943483236565</v>
      </c>
      <c r="J351" s="815">
        <f t="shared" ca="1" si="132"/>
        <v>2.6366943483236565</v>
      </c>
      <c r="K351" s="815">
        <f t="shared" ca="1" si="132"/>
        <v>2.6366943483236565</v>
      </c>
      <c r="L351" s="815">
        <f t="shared" ca="1" si="132"/>
        <v>2.6366943483236565</v>
      </c>
      <c r="M351" s="815">
        <f t="shared" ca="1" si="132"/>
        <v>2.6366943483236565</v>
      </c>
      <c r="N351" s="562"/>
    </row>
    <row r="352" spans="2:14" outlineLevel="1" x14ac:dyDescent="0.15">
      <c r="C352" s="8" t="s">
        <v>1676</v>
      </c>
      <c r="D352" s="26"/>
      <c r="E352" s="26"/>
      <c r="F352" s="26"/>
      <c r="G352" s="815">
        <f ca="1">G338+G345</f>
        <v>19.051925834082908</v>
      </c>
      <c r="H352" s="815">
        <f t="shared" ref="H352:M352" ca="1" si="133">H338+H345</f>
        <v>19.051925834082908</v>
      </c>
      <c r="I352" s="815">
        <f t="shared" ca="1" si="133"/>
        <v>19.051925834082908</v>
      </c>
      <c r="J352" s="815">
        <f t="shared" ca="1" si="133"/>
        <v>19.051925834082908</v>
      </c>
      <c r="K352" s="815">
        <f t="shared" ca="1" si="133"/>
        <v>19.051925834082908</v>
      </c>
      <c r="L352" s="815">
        <f t="shared" ca="1" si="133"/>
        <v>19.051925834082908</v>
      </c>
      <c r="M352" s="815">
        <f t="shared" ca="1" si="133"/>
        <v>19.051925834082908</v>
      </c>
      <c r="N352" s="562"/>
    </row>
    <row r="353" spans="2:14" outlineLevel="1" x14ac:dyDescent="0.15">
      <c r="C353" s="8"/>
      <c r="D353" s="26"/>
      <c r="E353" s="26"/>
      <c r="F353" s="26"/>
      <c r="G353" s="367"/>
      <c r="H353" s="367"/>
      <c r="I353" s="367"/>
      <c r="J353" s="367"/>
      <c r="K353" s="367"/>
      <c r="L353" s="367"/>
      <c r="M353" s="367"/>
      <c r="N353" s="562"/>
    </row>
    <row r="354" spans="2:14" ht="14" outlineLevel="1" x14ac:dyDescent="0.15">
      <c r="B354" s="507" t="s">
        <v>1683</v>
      </c>
      <c r="C354" s="8"/>
      <c r="D354" s="26"/>
      <c r="E354" s="26"/>
      <c r="F354" s="26"/>
      <c r="G354" s="367"/>
      <c r="H354" s="367"/>
      <c r="I354" s="367"/>
      <c r="J354" s="367"/>
      <c r="K354" s="367"/>
      <c r="L354" s="367"/>
      <c r="M354" s="367"/>
      <c r="N354" s="562"/>
    </row>
    <row r="355" spans="2:14" outlineLevel="1" x14ac:dyDescent="0.15">
      <c r="C355" s="8" t="s">
        <v>1673</v>
      </c>
      <c r="D355" s="26"/>
      <c r="E355" s="26"/>
      <c r="F355" s="26"/>
      <c r="G355" s="815">
        <f ca="1">G260+G282+G304+G326+G348</f>
        <v>108.16810534763631</v>
      </c>
      <c r="H355" s="815">
        <f t="shared" ref="H355:M355" ca="1" si="134">H260+H282+H304+H326+H348</f>
        <v>108.16810534763631</v>
      </c>
      <c r="I355" s="815">
        <f t="shared" ca="1" si="134"/>
        <v>108.16810534763631</v>
      </c>
      <c r="J355" s="815">
        <f t="shared" ca="1" si="134"/>
        <v>108.16810534763631</v>
      </c>
      <c r="K355" s="815">
        <f t="shared" ca="1" si="134"/>
        <v>108.16810534763631</v>
      </c>
      <c r="L355" s="815">
        <f t="shared" ca="1" si="134"/>
        <v>108.16810534763631</v>
      </c>
      <c r="M355" s="815">
        <f t="shared" ca="1" si="134"/>
        <v>108.16810534763631</v>
      </c>
      <c r="N355" s="562"/>
    </row>
    <row r="356" spans="2:14" outlineLevel="1" x14ac:dyDescent="0.15">
      <c r="C356" s="8" t="s">
        <v>1674</v>
      </c>
      <c r="D356" s="26"/>
      <c r="E356" s="26"/>
      <c r="F356" s="26"/>
      <c r="G356" s="815">
        <f ca="1">G261+G283+G305+G327+G349</f>
        <v>271.58386721540251</v>
      </c>
      <c r="H356" s="815">
        <f t="shared" ref="H356:M356" ca="1" si="135">H261+H283+H305+H327+H349</f>
        <v>271.58386721540251</v>
      </c>
      <c r="I356" s="815">
        <f t="shared" ca="1" si="135"/>
        <v>271.58386721540251</v>
      </c>
      <c r="J356" s="815">
        <f t="shared" ca="1" si="135"/>
        <v>271.58386721540251</v>
      </c>
      <c r="K356" s="815">
        <f t="shared" ca="1" si="135"/>
        <v>271.58386721540251</v>
      </c>
      <c r="L356" s="815">
        <f t="shared" ca="1" si="135"/>
        <v>271.58386721540251</v>
      </c>
      <c r="M356" s="815">
        <f t="shared" ca="1" si="135"/>
        <v>271.58386721540251</v>
      </c>
      <c r="N356" s="562"/>
    </row>
    <row r="357" spans="2:14" outlineLevel="1" x14ac:dyDescent="0.15">
      <c r="C357" s="8" t="s">
        <v>1675</v>
      </c>
      <c r="D357" s="26"/>
      <c r="E357" s="26"/>
      <c r="F357" s="26"/>
      <c r="G357" s="815">
        <f ca="1">G262+G284+G306+G328+G350</f>
        <v>20.540805178851755</v>
      </c>
      <c r="H357" s="815">
        <f t="shared" ref="H357:M357" ca="1" si="136">H262+H284+H306+H328+H350</f>
        <v>20.540805178851755</v>
      </c>
      <c r="I357" s="815">
        <f t="shared" ca="1" si="136"/>
        <v>20.540805178851755</v>
      </c>
      <c r="J357" s="815">
        <f t="shared" ca="1" si="136"/>
        <v>20.540805178851755</v>
      </c>
      <c r="K357" s="815">
        <f t="shared" ca="1" si="136"/>
        <v>20.540805178851755</v>
      </c>
      <c r="L357" s="815">
        <f t="shared" ca="1" si="136"/>
        <v>20.540805178851755</v>
      </c>
      <c r="M357" s="815">
        <f t="shared" ca="1" si="136"/>
        <v>20.540805178851755</v>
      </c>
      <c r="N357" s="562"/>
    </row>
    <row r="358" spans="2:14" outlineLevel="1" x14ac:dyDescent="0.15">
      <c r="C358" s="8" t="s">
        <v>1536</v>
      </c>
      <c r="D358" s="26"/>
      <c r="E358" s="26"/>
      <c r="F358" s="26"/>
      <c r="G358" s="815">
        <f ca="1">G263+G285+G307+G329+G351</f>
        <v>42.369894779872006</v>
      </c>
      <c r="H358" s="815">
        <f t="shared" ref="H358:M358" ca="1" si="137">H263+H285+H307+H329+H351</f>
        <v>42.369894779872006</v>
      </c>
      <c r="I358" s="815">
        <f t="shared" ca="1" si="137"/>
        <v>42.369894779872006</v>
      </c>
      <c r="J358" s="815">
        <f t="shared" ca="1" si="137"/>
        <v>42.369894779872006</v>
      </c>
      <c r="K358" s="815">
        <f t="shared" ca="1" si="137"/>
        <v>42.369894779872006</v>
      </c>
      <c r="L358" s="815">
        <f t="shared" ca="1" si="137"/>
        <v>42.369894779872006</v>
      </c>
      <c r="M358" s="815">
        <f t="shared" ca="1" si="137"/>
        <v>42.369894779872006</v>
      </c>
      <c r="N358" s="562"/>
    </row>
    <row r="359" spans="2:14" outlineLevel="1" x14ac:dyDescent="0.15">
      <c r="C359" s="8" t="s">
        <v>1676</v>
      </c>
      <c r="D359" s="26"/>
      <c r="E359" s="26"/>
      <c r="F359" s="26"/>
      <c r="G359" s="815">
        <f ca="1">G264+G286+G308+G330+G352</f>
        <v>442.6626725217626</v>
      </c>
      <c r="H359" s="815">
        <f t="shared" ref="H359:M359" ca="1" si="138">H264+H286+H308+H330+H352</f>
        <v>442.6626725217626</v>
      </c>
      <c r="I359" s="815">
        <f t="shared" ca="1" si="138"/>
        <v>442.6626725217626</v>
      </c>
      <c r="J359" s="815">
        <f t="shared" ca="1" si="138"/>
        <v>442.6626725217626</v>
      </c>
      <c r="K359" s="815">
        <f t="shared" ca="1" si="138"/>
        <v>442.6626725217626</v>
      </c>
      <c r="L359" s="815">
        <f t="shared" ca="1" si="138"/>
        <v>442.6626725217626</v>
      </c>
      <c r="M359" s="815">
        <f t="shared" ca="1" si="138"/>
        <v>442.6626725217626</v>
      </c>
      <c r="N359" s="562"/>
    </row>
    <row r="360" spans="2:14" outlineLevel="1" x14ac:dyDescent="0.15">
      <c r="C360" s="8"/>
      <c r="D360" s="26"/>
      <c r="E360" s="26"/>
      <c r="F360" s="26"/>
      <c r="G360" s="367"/>
      <c r="H360" s="367"/>
      <c r="I360" s="367"/>
      <c r="J360" s="367"/>
      <c r="K360" s="367"/>
      <c r="L360" s="367"/>
      <c r="M360" s="367"/>
      <c r="N360" s="562"/>
    </row>
    <row r="361" spans="2:14" ht="16" outlineLevel="1" x14ac:dyDescent="0.2">
      <c r="B361" s="5" t="s">
        <v>1684</v>
      </c>
      <c r="C361" s="8"/>
      <c r="D361" s="26"/>
      <c r="E361" s="26"/>
      <c r="F361" s="26"/>
      <c r="G361" s="367"/>
      <c r="H361" s="367"/>
      <c r="I361" s="367"/>
      <c r="J361" s="367"/>
      <c r="K361" s="367"/>
      <c r="L361" s="367"/>
      <c r="M361" s="367"/>
      <c r="N361" s="562"/>
    </row>
    <row r="362" spans="2:14" ht="14" outlineLevel="1" x14ac:dyDescent="0.15">
      <c r="B362" s="507" t="s">
        <v>1191</v>
      </c>
      <c r="D362" s="26"/>
      <c r="E362" s="26"/>
      <c r="F362" s="26"/>
      <c r="G362" s="367"/>
      <c r="H362" s="367"/>
      <c r="I362" s="367"/>
      <c r="J362" s="367"/>
      <c r="K362" s="367"/>
      <c r="L362" s="367"/>
      <c r="M362" s="367"/>
      <c r="N362" s="562"/>
    </row>
    <row r="363" spans="2:14" outlineLevel="1" x14ac:dyDescent="0.15">
      <c r="C363" s="8" t="s">
        <v>1673</v>
      </c>
      <c r="D363" s="26"/>
      <c r="E363" s="26"/>
      <c r="F363" s="26"/>
      <c r="G363" s="815">
        <f ca="1">'Manufacturing Costs'!G277*'Cost Input'!$F$93*G$181/Dashboard!D$110*(1-Lists!$C$154)*(1-Lists!$D$154)</f>
        <v>20.905572632171662</v>
      </c>
      <c r="H363" s="815">
        <f ca="1">'Manufacturing Costs'!H277*'Cost Input'!$F$93*H$181/Dashboard!E$110*(1-Lists!$C$154)*(1-Lists!$D$154)</f>
        <v>20.905572632171662</v>
      </c>
      <c r="I363" s="815">
        <f ca="1">'Manufacturing Costs'!I277*'Cost Input'!$F$93*I$181/Dashboard!F$110*(1-Lists!$C$154)*(1-Lists!$D$154)</f>
        <v>20.905572632171662</v>
      </c>
      <c r="J363" s="815">
        <f ca="1">'Manufacturing Costs'!J277*'Cost Input'!$F$93*J$181/Dashboard!G$110*(1-Lists!$C$154)*(1-Lists!$D$154)</f>
        <v>20.905572632171662</v>
      </c>
      <c r="K363" s="815">
        <f ca="1">'Manufacturing Costs'!K277*'Cost Input'!$F$93*K$181/Dashboard!H$110*(1-Lists!$C$154)*(1-Lists!$D$154)</f>
        <v>20.905572632171662</v>
      </c>
      <c r="L363" s="815">
        <f ca="1">'Manufacturing Costs'!L277*'Cost Input'!$F$93*L$181/Dashboard!I$110*(1-Lists!$C$154)*(1-Lists!$D$154)</f>
        <v>20.905572632171662</v>
      </c>
      <c r="M363" s="815">
        <f ca="1">'Manufacturing Costs'!M277*'Cost Input'!$F$93*M$181/Dashboard!J$110*(1-Lists!$C$154)*(1-Lists!$D$154)</f>
        <v>20.905572632171662</v>
      </c>
      <c r="N363" s="562"/>
    </row>
    <row r="364" spans="2:14" outlineLevel="1" x14ac:dyDescent="0.15">
      <c r="C364" s="8" t="s">
        <v>1674</v>
      </c>
      <c r="D364" s="26"/>
      <c r="E364" s="26"/>
      <c r="F364" s="26"/>
      <c r="G364" s="815">
        <f ca="1">'Manufacturing Costs'!G278*1000000*G$182/Dashboard!D$110*(1-Lists!$C$154)*(1-Lists!$D$154)</f>
        <v>26.194074620311245</v>
      </c>
      <c r="H364" s="815">
        <f ca="1">'Manufacturing Costs'!H278*1000000*H$182/Dashboard!E$110*(1-Lists!$C$154)*(1-Lists!$D$154)</f>
        <v>26.194074620311245</v>
      </c>
      <c r="I364" s="815">
        <f ca="1">'Manufacturing Costs'!I278*1000000*I$182/Dashboard!F$110*(1-Lists!$C$154)*(1-Lists!$D$154)</f>
        <v>26.194074620311245</v>
      </c>
      <c r="J364" s="815">
        <f ca="1">'Manufacturing Costs'!J278*1000000*J$182/Dashboard!G$110*(1-Lists!$C$154)*(1-Lists!$D$154)</f>
        <v>26.194074620311245</v>
      </c>
      <c r="K364" s="815">
        <f ca="1">'Manufacturing Costs'!K278*1000000*K$182/Dashboard!H$110*(1-Lists!$C$154)*(1-Lists!$D$154)</f>
        <v>26.194074620311245</v>
      </c>
      <c r="L364" s="815">
        <f ca="1">'Manufacturing Costs'!L278*1000000*L$182/Dashboard!I$110*(1-Lists!$C$154)*(1-Lists!$D$154)</f>
        <v>26.194074620311245</v>
      </c>
      <c r="M364" s="815">
        <f ca="1">'Manufacturing Costs'!M278*1000000*M$182/Dashboard!J$110*(1-Lists!$C$154)*(1-Lists!$D$154)</f>
        <v>26.194074620311245</v>
      </c>
      <c r="N364" s="562"/>
    </row>
    <row r="365" spans="2:14" outlineLevel="1" x14ac:dyDescent="0.15">
      <c r="C365" s="8" t="s">
        <v>1675</v>
      </c>
      <c r="D365" s="26"/>
      <c r="E365" s="26"/>
      <c r="F365" s="26"/>
      <c r="G365" s="815">
        <f ca="1">'Manufacturing Costs'!G279*'Cost Input'!$F$84*G$183/Dashboard!D$110*(1-Lists!$C$154)*(1-Lists!$D$154)</f>
        <v>2.2761779848668753</v>
      </c>
      <c r="H365" s="815">
        <f ca="1">'Manufacturing Costs'!H279*'Cost Input'!$F$84*H$183/Dashboard!E$110*(1-Lists!$C$154)*(1-Lists!$D$154)</f>
        <v>2.2761779848668753</v>
      </c>
      <c r="I365" s="815">
        <f ca="1">'Manufacturing Costs'!I279*'Cost Input'!$F$84*I$183/Dashboard!F$110*(1-Lists!$C$154)*(1-Lists!$D$154)</f>
        <v>2.2761779848668753</v>
      </c>
      <c r="J365" s="815">
        <f ca="1">'Manufacturing Costs'!J279*'Cost Input'!$F$84*J$183/Dashboard!G$110*(1-Lists!$C$154)*(1-Lists!$D$154)</f>
        <v>2.2761779848668753</v>
      </c>
      <c r="K365" s="815">
        <f ca="1">'Manufacturing Costs'!K279*'Cost Input'!$F$84*K$183/Dashboard!H$110*(1-Lists!$C$154)*(1-Lists!$D$154)</f>
        <v>2.2761779848668753</v>
      </c>
      <c r="L365" s="815">
        <f ca="1">'Manufacturing Costs'!L279*'Cost Input'!$F$84*L$183/Dashboard!I$110*(1-Lists!$C$154)*(1-Lists!$D$154)</f>
        <v>2.2761779848668753</v>
      </c>
      <c r="M365" s="815">
        <f ca="1">'Manufacturing Costs'!M279*'Cost Input'!$F$84*M$183/Dashboard!J$110*(1-Lists!$C$154)*(1-Lists!$D$154)</f>
        <v>2.2761779848668753</v>
      </c>
      <c r="N365" s="562"/>
    </row>
    <row r="366" spans="2:14" outlineLevel="1" x14ac:dyDescent="0.15">
      <c r="C366" s="8" t="s">
        <v>1536</v>
      </c>
      <c r="D366" s="26"/>
      <c r="E366" s="26"/>
      <c r="F366" s="26"/>
      <c r="G366" s="815">
        <f ca="1">'Manufacturing Costs'!G280*'Cost Input'!$F$81*24*'Cost Input'!$F$94*G$184/Dashboard!D$110*(1-Lists!$C$154)</f>
        <v>0.91400624717531165</v>
      </c>
      <c r="H366" s="815">
        <f ca="1">'Manufacturing Costs'!H280*'Cost Input'!$F$81*24*'Cost Input'!$F$94*H$184/Dashboard!E$110*(1-Lists!$C$154)</f>
        <v>0.91400624717531165</v>
      </c>
      <c r="I366" s="815">
        <f ca="1">'Manufacturing Costs'!I280*'Cost Input'!$F$81*24*'Cost Input'!$F$94*I$184/Dashboard!F$110*(1-Lists!$C$154)</f>
        <v>0.91400624717531165</v>
      </c>
      <c r="J366" s="815">
        <f ca="1">'Manufacturing Costs'!J280*'Cost Input'!$F$81*24*'Cost Input'!$F$94*J$184/Dashboard!G$110*(1-Lists!$C$154)</f>
        <v>0.91400624717531165</v>
      </c>
      <c r="K366" s="815">
        <f ca="1">'Manufacturing Costs'!K280*'Cost Input'!$F$81*24*'Cost Input'!$F$94*K$184/Dashboard!H$110*(1-Lists!$C$154)</f>
        <v>0.91400624717531165</v>
      </c>
      <c r="L366" s="815">
        <f ca="1">'Manufacturing Costs'!L280*'Cost Input'!$F$81*24*'Cost Input'!$F$94*L$184/Dashboard!I$110*(1-Lists!$C$154)</f>
        <v>0.91400624717531165</v>
      </c>
      <c r="M366" s="815">
        <f ca="1">'Manufacturing Costs'!M280*'Cost Input'!$F$81*24*'Cost Input'!$F$94*M$184/Dashboard!J$110*(1-Lists!$C$154)</f>
        <v>0.91400624717531165</v>
      </c>
      <c r="N366" s="562"/>
    </row>
    <row r="367" spans="2:14" outlineLevel="1" x14ac:dyDescent="0.15">
      <c r="C367" s="8" t="s">
        <v>1676</v>
      </c>
      <c r="D367" s="26"/>
      <c r="E367" s="26"/>
      <c r="F367" s="26"/>
      <c r="G367" s="815">
        <f ca="1">SUM(G363:G366)</f>
        <v>50.289831484525095</v>
      </c>
      <c r="H367" s="815">
        <f t="shared" ref="H367:M367" ca="1" si="139">SUM(H363:H366)</f>
        <v>50.289831484525095</v>
      </c>
      <c r="I367" s="815">
        <f t="shared" ca="1" si="139"/>
        <v>50.289831484525095</v>
      </c>
      <c r="J367" s="815">
        <f t="shared" ca="1" si="139"/>
        <v>50.289831484525095</v>
      </c>
      <c r="K367" s="815">
        <f t="shared" ca="1" si="139"/>
        <v>50.289831484525095</v>
      </c>
      <c r="L367" s="815">
        <f t="shared" ca="1" si="139"/>
        <v>50.289831484525095</v>
      </c>
      <c r="M367" s="815">
        <f t="shared" ca="1" si="139"/>
        <v>50.289831484525095</v>
      </c>
      <c r="N367" s="562"/>
    </row>
    <row r="368" spans="2:14" outlineLevel="1" x14ac:dyDescent="0.15">
      <c r="C368" s="8"/>
      <c r="D368" s="26"/>
      <c r="E368" s="26"/>
      <c r="F368" s="26"/>
      <c r="G368" s="367"/>
      <c r="H368" s="367"/>
      <c r="I368" s="367"/>
      <c r="J368" s="367"/>
      <c r="K368" s="367"/>
      <c r="L368" s="367"/>
      <c r="M368" s="367"/>
      <c r="N368" s="562"/>
    </row>
    <row r="369" spans="2:14" ht="14" outlineLevel="1" x14ac:dyDescent="0.15">
      <c r="B369" s="507" t="s">
        <v>1192</v>
      </c>
      <c r="C369" s="8"/>
      <c r="D369" s="26"/>
      <c r="E369" s="26"/>
      <c r="F369" s="26"/>
      <c r="G369" s="367"/>
      <c r="H369" s="367"/>
      <c r="I369" s="367"/>
      <c r="J369" s="367"/>
      <c r="K369" s="367"/>
      <c r="L369" s="367"/>
      <c r="M369" s="367"/>
      <c r="N369" s="562"/>
    </row>
    <row r="370" spans="2:14" outlineLevel="1" x14ac:dyDescent="0.15">
      <c r="C370" s="8" t="s">
        <v>1673</v>
      </c>
      <c r="D370" s="26"/>
      <c r="E370" s="26"/>
      <c r="F370" s="26"/>
      <c r="G370" s="815">
        <f ca="1">'Manufacturing Costs'!G285*'Cost Input'!$F$93*G$181/Dashboard!D$110*(1-Lists!$C$154)*(1-Lists!$D$154)</f>
        <v>65.139884405312046</v>
      </c>
      <c r="H370" s="815">
        <f ca="1">'Manufacturing Costs'!H285*'Cost Input'!$F$93*H$181/Dashboard!E$110*(1-Lists!$C$154)*(1-Lists!$D$154)</f>
        <v>65.139884405312046</v>
      </c>
      <c r="I370" s="815">
        <f ca="1">'Manufacturing Costs'!I285*'Cost Input'!$F$93*I$181/Dashboard!F$110*(1-Lists!$C$154)*(1-Lists!$D$154)</f>
        <v>65.139884405312046</v>
      </c>
      <c r="J370" s="815">
        <f ca="1">'Manufacturing Costs'!J285*'Cost Input'!$F$93*J$181/Dashboard!G$110*(1-Lists!$C$154)*(1-Lists!$D$154)</f>
        <v>65.139884405312046</v>
      </c>
      <c r="K370" s="815">
        <f ca="1">'Manufacturing Costs'!K285*'Cost Input'!$F$93*K$181/Dashboard!H$110*(1-Lists!$C$154)*(1-Lists!$D$154)</f>
        <v>65.139884405312046</v>
      </c>
      <c r="L370" s="815">
        <f ca="1">'Manufacturing Costs'!L285*'Cost Input'!$F$93*L$181/Dashboard!I$110*(1-Lists!$C$154)*(1-Lists!$D$154)</f>
        <v>65.139884405312046</v>
      </c>
      <c r="M370" s="815">
        <f ca="1">'Manufacturing Costs'!M285*'Cost Input'!$F$93*M$181/Dashboard!J$110*(1-Lists!$C$154)*(1-Lists!$D$154)</f>
        <v>65.139884405312046</v>
      </c>
      <c r="N370" s="562"/>
    </row>
    <row r="371" spans="2:14" outlineLevel="1" x14ac:dyDescent="0.15">
      <c r="C371" s="8" t="s">
        <v>1674</v>
      </c>
      <c r="D371" s="26"/>
      <c r="E371" s="26"/>
      <c r="F371" s="26"/>
      <c r="G371" s="815">
        <f ca="1">'Manufacturing Costs'!G286*1000000*G$182/Dashboard!D$110*(1-Lists!$C$154)*(1-Lists!$D$154)</f>
        <v>76.824758017655128</v>
      </c>
      <c r="H371" s="815">
        <f ca="1">'Manufacturing Costs'!H286*1000000*H$182/Dashboard!E$110*(1-Lists!$C$154)*(1-Lists!$D$154)</f>
        <v>76.824758017655128</v>
      </c>
      <c r="I371" s="815">
        <f ca="1">'Manufacturing Costs'!I286*1000000*I$182/Dashboard!F$110*(1-Lists!$C$154)*(1-Lists!$D$154)</f>
        <v>76.824758017655128</v>
      </c>
      <c r="J371" s="815">
        <f ca="1">'Manufacturing Costs'!J286*1000000*J$182/Dashboard!G$110*(1-Lists!$C$154)*(1-Lists!$D$154)</f>
        <v>76.824758017655128</v>
      </c>
      <c r="K371" s="815">
        <f ca="1">'Manufacturing Costs'!K286*1000000*K$182/Dashboard!H$110*(1-Lists!$C$154)*(1-Lists!$D$154)</f>
        <v>76.824758017655128</v>
      </c>
      <c r="L371" s="815">
        <f ca="1">'Manufacturing Costs'!L286*1000000*L$182/Dashboard!I$110*(1-Lists!$C$154)*(1-Lists!$D$154)</f>
        <v>76.824758017655128</v>
      </c>
      <c r="M371" s="815">
        <f ca="1">'Manufacturing Costs'!M286*1000000*M$182/Dashboard!J$110*(1-Lists!$C$154)*(1-Lists!$D$154)</f>
        <v>76.824758017655128</v>
      </c>
      <c r="N371" s="562"/>
    </row>
    <row r="372" spans="2:14" outlineLevel="1" x14ac:dyDescent="0.15">
      <c r="C372" s="8" t="s">
        <v>1675</v>
      </c>
      <c r="D372" s="26"/>
      <c r="E372" s="26"/>
      <c r="F372" s="26"/>
      <c r="G372" s="815">
        <f ca="1">'Manufacturing Costs'!G287*'Cost Input'!$F$84*G$183/Dashboard!D$110*(1-Lists!$C$154)*(1-Lists!$D$154)</f>
        <v>5.4116159403559445</v>
      </c>
      <c r="H372" s="815">
        <f ca="1">'Manufacturing Costs'!H287*'Cost Input'!$F$84*H$183/Dashboard!E$110*(1-Lists!$C$154)*(1-Lists!$D$154)</f>
        <v>5.4116159403559445</v>
      </c>
      <c r="I372" s="815">
        <f ca="1">'Manufacturing Costs'!I287*'Cost Input'!$F$84*I$183/Dashboard!F$110*(1-Lists!$C$154)*(1-Lists!$D$154)</f>
        <v>5.4116159403559445</v>
      </c>
      <c r="J372" s="815">
        <f ca="1">'Manufacturing Costs'!J287*'Cost Input'!$F$84*J$183/Dashboard!G$110*(1-Lists!$C$154)*(1-Lists!$D$154)</f>
        <v>5.4116159403559445</v>
      </c>
      <c r="K372" s="815">
        <f ca="1">'Manufacturing Costs'!K287*'Cost Input'!$F$84*K$183/Dashboard!H$110*(1-Lists!$C$154)*(1-Lists!$D$154)</f>
        <v>5.4116159403559445</v>
      </c>
      <c r="L372" s="815">
        <f ca="1">'Manufacturing Costs'!L287*'Cost Input'!$F$84*L$183/Dashboard!I$110*(1-Lists!$C$154)*(1-Lists!$D$154)</f>
        <v>5.4116159403559445</v>
      </c>
      <c r="M372" s="815">
        <f ca="1">'Manufacturing Costs'!M287*'Cost Input'!$F$84*M$183/Dashboard!J$110*(1-Lists!$C$154)*(1-Lists!$D$154)</f>
        <v>5.4116159403559445</v>
      </c>
      <c r="N372" s="562"/>
    </row>
    <row r="373" spans="2:14" outlineLevel="1" x14ac:dyDescent="0.15">
      <c r="C373" s="8" t="s">
        <v>1536</v>
      </c>
      <c r="D373" s="26"/>
      <c r="E373" s="26"/>
      <c r="F373" s="26"/>
      <c r="G373" s="815">
        <f>'Manufacturing Costs'!G288*'Cost Input'!$F$81*24*'Cost Input'!$F$94*G$184/Dashboard!D$110*(1-Lists!$C$154)</f>
        <v>3.1523006975757055</v>
      </c>
      <c r="H373" s="815">
        <f>'Manufacturing Costs'!H288*'Cost Input'!$F$81*24*'Cost Input'!$F$94*H$184/Dashboard!E$110*(1-Lists!$C$154)</f>
        <v>3.1523006975757055</v>
      </c>
      <c r="I373" s="815">
        <f>'Manufacturing Costs'!I288*'Cost Input'!$F$81*24*'Cost Input'!$F$94*I$184/Dashboard!F$110*(1-Lists!$C$154)</f>
        <v>3.1523006975757055</v>
      </c>
      <c r="J373" s="815">
        <f>'Manufacturing Costs'!J288*'Cost Input'!$F$81*24*'Cost Input'!$F$94*J$184/Dashboard!G$110*(1-Lists!$C$154)</f>
        <v>3.1523006975757055</v>
      </c>
      <c r="K373" s="815">
        <f>'Manufacturing Costs'!K288*'Cost Input'!$F$81*24*'Cost Input'!$F$94*K$184/Dashboard!H$110*(1-Lists!$C$154)</f>
        <v>3.1523006975757055</v>
      </c>
      <c r="L373" s="815">
        <f>'Manufacturing Costs'!L288*'Cost Input'!$F$81*24*'Cost Input'!$F$94*L$184/Dashboard!I$110*(1-Lists!$C$154)</f>
        <v>3.1523006975757055</v>
      </c>
      <c r="M373" s="815">
        <f>'Manufacturing Costs'!M288*'Cost Input'!$F$81*24*'Cost Input'!$F$94*M$184/Dashboard!J$110*(1-Lists!$C$154)</f>
        <v>3.1523006975757055</v>
      </c>
      <c r="N373" s="562"/>
    </row>
    <row r="374" spans="2:14" outlineLevel="1" x14ac:dyDescent="0.15">
      <c r="C374" s="8" t="s">
        <v>1676</v>
      </c>
      <c r="D374" s="26"/>
      <c r="E374" s="26"/>
      <c r="F374" s="26"/>
      <c r="G374" s="815">
        <f ca="1">SUM(G370:G373)</f>
        <v>150.52855906089883</v>
      </c>
      <c r="H374" s="815">
        <f t="shared" ref="H374:M374" ca="1" si="140">SUM(H370:H373)</f>
        <v>150.52855906089883</v>
      </c>
      <c r="I374" s="815">
        <f t="shared" ca="1" si="140"/>
        <v>150.52855906089883</v>
      </c>
      <c r="J374" s="815">
        <f t="shared" ca="1" si="140"/>
        <v>150.52855906089883</v>
      </c>
      <c r="K374" s="815">
        <f t="shared" ca="1" si="140"/>
        <v>150.52855906089883</v>
      </c>
      <c r="L374" s="815">
        <f t="shared" ca="1" si="140"/>
        <v>150.52855906089883</v>
      </c>
      <c r="M374" s="815">
        <f t="shared" ca="1" si="140"/>
        <v>150.52855906089883</v>
      </c>
      <c r="N374" s="562"/>
    </row>
    <row r="375" spans="2:14" outlineLevel="1" x14ac:dyDescent="0.15">
      <c r="C375" s="8"/>
      <c r="D375" s="26"/>
      <c r="E375" s="26"/>
      <c r="F375" s="26"/>
      <c r="G375" s="367"/>
      <c r="H375" s="367"/>
      <c r="I375" s="367"/>
      <c r="J375" s="367"/>
      <c r="K375" s="367"/>
      <c r="L375" s="367"/>
      <c r="M375" s="367"/>
      <c r="N375" s="562"/>
    </row>
    <row r="376" spans="2:14" ht="14" outlineLevel="1" x14ac:dyDescent="0.15">
      <c r="B376" s="507" t="s">
        <v>1195</v>
      </c>
      <c r="C376" s="8"/>
      <c r="D376" s="26"/>
      <c r="E376" s="26"/>
      <c r="F376" s="26"/>
      <c r="G376" s="367"/>
      <c r="H376" s="367"/>
      <c r="I376" s="367"/>
      <c r="J376" s="367"/>
      <c r="K376" s="367"/>
      <c r="L376" s="367"/>
      <c r="M376" s="367"/>
      <c r="N376" s="562"/>
    </row>
    <row r="377" spans="2:14" outlineLevel="1" x14ac:dyDescent="0.15">
      <c r="C377" s="8" t="s">
        <v>1673</v>
      </c>
      <c r="D377" s="26"/>
      <c r="E377" s="26"/>
      <c r="F377" s="26"/>
      <c r="G377" s="815">
        <f>'Manufacturing Costs'!G292*'Cost Input'!$F$93*G$181/Dashboard!D$110*(1-Lists!$C$154)*(1-Lists!$D$154)</f>
        <v>16.764375954679103</v>
      </c>
      <c r="H377" s="815">
        <f>'Manufacturing Costs'!H292*'Cost Input'!$F$93*H$181/Dashboard!E$110*(1-Lists!$C$154)*(1-Lists!$D$154)</f>
        <v>16.764375954679103</v>
      </c>
      <c r="I377" s="815">
        <f>'Manufacturing Costs'!I292*'Cost Input'!$F$93*I$181/Dashboard!F$110*(1-Lists!$C$154)*(1-Lists!$D$154)</f>
        <v>16.764375954679103</v>
      </c>
      <c r="J377" s="815">
        <f>'Manufacturing Costs'!J292*'Cost Input'!$F$93*J$181/Dashboard!G$110*(1-Lists!$C$154)*(1-Lists!$D$154)</f>
        <v>16.764375954679103</v>
      </c>
      <c r="K377" s="815">
        <f>'Manufacturing Costs'!K292*'Cost Input'!$F$93*K$181/Dashboard!H$110*(1-Lists!$C$154)*(1-Lists!$D$154)</f>
        <v>16.764375954679103</v>
      </c>
      <c r="L377" s="815">
        <f>'Manufacturing Costs'!L292*'Cost Input'!$F$93*L$181/Dashboard!I$110*(1-Lists!$C$154)*(1-Lists!$D$154)</f>
        <v>16.764375954679103</v>
      </c>
      <c r="M377" s="815">
        <f>'Manufacturing Costs'!M292*'Cost Input'!$F$93*M$181/Dashboard!J$110*(1-Lists!$C$154)*(1-Lists!$D$154)</f>
        <v>16.764375954679103</v>
      </c>
      <c r="N377" s="562"/>
    </row>
    <row r="378" spans="2:14" outlineLevel="1" x14ac:dyDescent="0.15">
      <c r="C378" s="8" t="s">
        <v>1674</v>
      </c>
      <c r="D378" s="26"/>
      <c r="E378" s="26"/>
      <c r="F378" s="26"/>
      <c r="G378" s="815">
        <f>'Manufacturing Costs'!G293*1000000*G$182/Dashboard!D$110*(1-Lists!$C$154)*(1-Lists!$D$154)</f>
        <v>83.720516281122173</v>
      </c>
      <c r="H378" s="815">
        <f>'Manufacturing Costs'!H293*1000000*H$182/Dashboard!E$110*(1-Lists!$C$154)*(1-Lists!$D$154)</f>
        <v>83.720516281122173</v>
      </c>
      <c r="I378" s="815">
        <f>'Manufacturing Costs'!I293*1000000*I$182/Dashboard!F$110*(1-Lists!$C$154)*(1-Lists!$D$154)</f>
        <v>83.720516281122173</v>
      </c>
      <c r="J378" s="815">
        <f>'Manufacturing Costs'!J293*1000000*J$182/Dashboard!G$110*(1-Lists!$C$154)*(1-Lists!$D$154)</f>
        <v>83.720516281122173</v>
      </c>
      <c r="K378" s="815">
        <f>'Manufacturing Costs'!K293*1000000*K$182/Dashboard!H$110*(1-Lists!$C$154)*(1-Lists!$D$154)</f>
        <v>83.720516281122173</v>
      </c>
      <c r="L378" s="815">
        <f>'Manufacturing Costs'!L293*1000000*L$182/Dashboard!I$110*(1-Lists!$C$154)*(1-Lists!$D$154)</f>
        <v>83.720516281122173</v>
      </c>
      <c r="M378" s="815">
        <f>'Manufacturing Costs'!M293*1000000*M$182/Dashboard!J$110*(1-Lists!$C$154)*(1-Lists!$D$154)</f>
        <v>83.720516281122173</v>
      </c>
      <c r="N378" s="562"/>
    </row>
    <row r="379" spans="2:14" outlineLevel="1" x14ac:dyDescent="0.15">
      <c r="C379" s="8" t="s">
        <v>1675</v>
      </c>
      <c r="D379" s="26"/>
      <c r="E379" s="26"/>
      <c r="F379" s="26"/>
      <c r="G379" s="815">
        <f>'Manufacturing Costs'!G294*'Cost Input'!$F$84*G$183/Dashboard!D$110*(1-Lists!$C$154)*(1-Lists!$D$154)</f>
        <v>1.3359905167760238</v>
      </c>
      <c r="H379" s="815">
        <f>'Manufacturing Costs'!H294*'Cost Input'!$F$84*H$183/Dashboard!E$110*(1-Lists!$C$154)*(1-Lists!$D$154)</f>
        <v>1.3359905167760238</v>
      </c>
      <c r="I379" s="815">
        <f>'Manufacturing Costs'!I294*'Cost Input'!$F$84*I$183/Dashboard!F$110*(1-Lists!$C$154)*(1-Lists!$D$154)</f>
        <v>1.3359905167760238</v>
      </c>
      <c r="J379" s="815">
        <f>'Manufacturing Costs'!J294*'Cost Input'!$F$84*J$183/Dashboard!G$110*(1-Lists!$C$154)*(1-Lists!$D$154)</f>
        <v>1.3359905167760238</v>
      </c>
      <c r="K379" s="815">
        <f>'Manufacturing Costs'!K294*'Cost Input'!$F$84*K$183/Dashboard!H$110*(1-Lists!$C$154)*(1-Lists!$D$154)</f>
        <v>1.3359905167760238</v>
      </c>
      <c r="L379" s="815">
        <f>'Manufacturing Costs'!L294*'Cost Input'!$F$84*L$183/Dashboard!I$110*(1-Lists!$C$154)*(1-Lists!$D$154)</f>
        <v>1.3359905167760238</v>
      </c>
      <c r="M379" s="815">
        <f>'Manufacturing Costs'!M294*'Cost Input'!$F$84*M$183/Dashboard!J$110*(1-Lists!$C$154)*(1-Lists!$D$154)</f>
        <v>1.3359905167760238</v>
      </c>
      <c r="N379" s="562"/>
    </row>
    <row r="380" spans="2:14" outlineLevel="1" x14ac:dyDescent="0.15">
      <c r="C380" s="8" t="s">
        <v>1536</v>
      </c>
      <c r="D380" s="26"/>
      <c r="E380" s="26"/>
      <c r="F380" s="26"/>
      <c r="G380" s="815">
        <f>'Manufacturing Costs'!G295*'Cost Input'!$F$81*24*'Cost Input'!$F$94*G$184/Dashboard!D$110*(1-Lists!$C$154)</f>
        <v>1.1821127615908897</v>
      </c>
      <c r="H380" s="815">
        <f>'Manufacturing Costs'!H295*'Cost Input'!$F$81*24*'Cost Input'!$F$94*H$184/Dashboard!E$110*(1-Lists!$C$154)</f>
        <v>1.1821127615908897</v>
      </c>
      <c r="I380" s="815">
        <f>'Manufacturing Costs'!I295*'Cost Input'!$F$81*24*'Cost Input'!$F$94*I$184/Dashboard!F$110*(1-Lists!$C$154)</f>
        <v>1.1821127615908897</v>
      </c>
      <c r="J380" s="815">
        <f>'Manufacturing Costs'!J295*'Cost Input'!$F$81*24*'Cost Input'!$F$94*J$184/Dashboard!G$110*(1-Lists!$C$154)</f>
        <v>1.1821127615908897</v>
      </c>
      <c r="K380" s="815">
        <f>'Manufacturing Costs'!K295*'Cost Input'!$F$81*24*'Cost Input'!$F$94*K$184/Dashboard!H$110*(1-Lists!$C$154)</f>
        <v>1.1821127615908897</v>
      </c>
      <c r="L380" s="815">
        <f>'Manufacturing Costs'!L295*'Cost Input'!$F$81*24*'Cost Input'!$F$94*L$184/Dashboard!I$110*(1-Lists!$C$154)</f>
        <v>1.1821127615908897</v>
      </c>
      <c r="M380" s="815">
        <f>'Manufacturing Costs'!M295*'Cost Input'!$F$81*24*'Cost Input'!$F$94*M$184/Dashboard!J$110*(1-Lists!$C$154)</f>
        <v>1.1821127615908897</v>
      </c>
      <c r="N380" s="562"/>
    </row>
    <row r="381" spans="2:14" outlineLevel="1" x14ac:dyDescent="0.15">
      <c r="C381" s="8" t="s">
        <v>1676</v>
      </c>
      <c r="D381" s="26"/>
      <c r="E381" s="26"/>
      <c r="F381" s="26"/>
      <c r="G381" s="815">
        <f>SUM(G377:G380)</f>
        <v>103.00299551416819</v>
      </c>
      <c r="H381" s="815">
        <f t="shared" ref="H381:M381" si="141">SUM(H377:H380)</f>
        <v>103.00299551416819</v>
      </c>
      <c r="I381" s="815">
        <f t="shared" si="141"/>
        <v>103.00299551416819</v>
      </c>
      <c r="J381" s="815">
        <f t="shared" si="141"/>
        <v>103.00299551416819</v>
      </c>
      <c r="K381" s="815">
        <f t="shared" si="141"/>
        <v>103.00299551416819</v>
      </c>
      <c r="L381" s="815">
        <f t="shared" si="141"/>
        <v>103.00299551416819</v>
      </c>
      <c r="M381" s="815">
        <f t="shared" si="141"/>
        <v>103.00299551416819</v>
      </c>
      <c r="N381" s="562"/>
    </row>
    <row r="382" spans="2:14" outlineLevel="1" x14ac:dyDescent="0.15">
      <c r="C382" s="8"/>
      <c r="D382" s="26"/>
      <c r="E382" s="26"/>
      <c r="F382" s="26"/>
      <c r="G382" s="367"/>
      <c r="H382" s="367"/>
      <c r="I382" s="367"/>
      <c r="J382" s="367"/>
      <c r="K382" s="367"/>
      <c r="L382" s="367"/>
      <c r="M382" s="367"/>
      <c r="N382" s="562"/>
    </row>
    <row r="383" spans="2:14" ht="14" outlineLevel="1" x14ac:dyDescent="0.15">
      <c r="B383" s="507" t="s">
        <v>1197</v>
      </c>
      <c r="D383" s="26"/>
      <c r="E383" s="26"/>
      <c r="F383" s="26"/>
      <c r="G383" s="367"/>
      <c r="H383" s="367"/>
      <c r="I383" s="367"/>
      <c r="J383" s="367"/>
      <c r="K383" s="367"/>
      <c r="L383" s="367"/>
      <c r="M383" s="367"/>
      <c r="N383" s="562"/>
    </row>
    <row r="384" spans="2:14" outlineLevel="1" x14ac:dyDescent="0.15">
      <c r="C384" s="8" t="s">
        <v>1673</v>
      </c>
      <c r="D384" s="26"/>
      <c r="E384" s="26"/>
      <c r="F384" s="26"/>
      <c r="G384" s="815">
        <f>'Manufacturing Costs'!G299*'Cost Input'!$F$93*G$181/Dashboard!D$110*(1-Lists!$C$154)*(1-Lists!$D$154)</f>
        <v>16.764375954679103</v>
      </c>
      <c r="H384" s="815">
        <f>'Manufacturing Costs'!H299*'Cost Input'!$F$93*H$181/Dashboard!E$110*(1-Lists!$C$154)*(1-Lists!$D$154)</f>
        <v>16.764375954679103</v>
      </c>
      <c r="I384" s="815">
        <f>'Manufacturing Costs'!I299*'Cost Input'!$F$93*I$181/Dashboard!F$110*(1-Lists!$C$154)*(1-Lists!$D$154)</f>
        <v>16.764375954679103</v>
      </c>
      <c r="J384" s="815">
        <f>'Manufacturing Costs'!J299*'Cost Input'!$F$93*J$181/Dashboard!G$110*(1-Lists!$C$154)*(1-Lists!$D$154)</f>
        <v>16.764375954679103</v>
      </c>
      <c r="K384" s="815">
        <f>'Manufacturing Costs'!K299*'Cost Input'!$F$93*K$181/Dashboard!H$110*(1-Lists!$C$154)*(1-Lists!$D$154)</f>
        <v>16.764375954679103</v>
      </c>
      <c r="L384" s="815">
        <f>'Manufacturing Costs'!L299*'Cost Input'!$F$93*L$181/Dashboard!I$110*(1-Lists!$C$154)*(1-Lists!$D$154)</f>
        <v>16.764375954679103</v>
      </c>
      <c r="M384" s="815">
        <f>'Manufacturing Costs'!M299*'Cost Input'!$F$93*M$181/Dashboard!J$110*(1-Lists!$C$154)*(1-Lists!$D$154)</f>
        <v>16.764375954679103</v>
      </c>
      <c r="N384" s="562"/>
    </row>
    <row r="385" spans="2:14" outlineLevel="1" x14ac:dyDescent="0.15">
      <c r="C385" s="8" t="s">
        <v>1674</v>
      </c>
      <c r="D385" s="26"/>
      <c r="E385" s="26"/>
      <c r="F385" s="26"/>
      <c r="G385" s="815">
        <f>'Manufacturing Costs'!G300*1000000*G$182/Dashboard!D$110*(1-Lists!$C$154)*(1-Lists!$D$154)</f>
        <v>6.0383218370400016</v>
      </c>
      <c r="H385" s="815">
        <f>'Manufacturing Costs'!H300*1000000*H$182/Dashboard!E$110*(1-Lists!$C$154)*(1-Lists!$D$154)</f>
        <v>6.0383218370400016</v>
      </c>
      <c r="I385" s="815">
        <f>'Manufacturing Costs'!I300*1000000*I$182/Dashboard!F$110*(1-Lists!$C$154)*(1-Lists!$D$154)</f>
        <v>6.0383218370400016</v>
      </c>
      <c r="J385" s="815">
        <f>'Manufacturing Costs'!J300*1000000*J$182/Dashboard!G$110*(1-Lists!$C$154)*(1-Lists!$D$154)</f>
        <v>6.0383218370400016</v>
      </c>
      <c r="K385" s="815">
        <f>'Manufacturing Costs'!K300*1000000*K$182/Dashboard!H$110*(1-Lists!$C$154)*(1-Lists!$D$154)</f>
        <v>6.0383218370400016</v>
      </c>
      <c r="L385" s="815">
        <f>'Manufacturing Costs'!L300*1000000*L$182/Dashboard!I$110*(1-Lists!$C$154)*(1-Lists!$D$154)</f>
        <v>6.0383218370400016</v>
      </c>
      <c r="M385" s="815">
        <f>'Manufacturing Costs'!M300*1000000*M$182/Dashboard!J$110*(1-Lists!$C$154)*(1-Lists!$D$154)</f>
        <v>6.0383218370400016</v>
      </c>
      <c r="N385" s="562"/>
    </row>
    <row r="386" spans="2:14" outlineLevel="1" x14ac:dyDescent="0.15">
      <c r="C386" s="8" t="s">
        <v>1675</v>
      </c>
      <c r="D386" s="26"/>
      <c r="E386" s="26"/>
      <c r="F386" s="26"/>
      <c r="G386" s="815">
        <f>'Manufacturing Costs'!G301*'Cost Input'!$F$84*G$183/Dashboard!D$110*(1-Lists!$C$154)*(1-Lists!$D$154)</f>
        <v>1.6609611830188404</v>
      </c>
      <c r="H386" s="815">
        <f>'Manufacturing Costs'!H301*'Cost Input'!$F$84*H$183/Dashboard!E$110*(1-Lists!$C$154)*(1-Lists!$D$154)</f>
        <v>1.6609611830188404</v>
      </c>
      <c r="I386" s="815">
        <f>'Manufacturing Costs'!I301*'Cost Input'!$F$84*I$183/Dashboard!F$110*(1-Lists!$C$154)*(1-Lists!$D$154)</f>
        <v>1.6609611830188404</v>
      </c>
      <c r="J386" s="815">
        <f>'Manufacturing Costs'!J301*'Cost Input'!$F$84*J$183/Dashboard!G$110*(1-Lists!$C$154)*(1-Lists!$D$154)</f>
        <v>1.6609611830188404</v>
      </c>
      <c r="K386" s="815">
        <f>'Manufacturing Costs'!K301*'Cost Input'!$F$84*K$183/Dashboard!H$110*(1-Lists!$C$154)*(1-Lists!$D$154)</f>
        <v>1.6609611830188404</v>
      </c>
      <c r="L386" s="815">
        <f>'Manufacturing Costs'!L301*'Cost Input'!$F$84*L$183/Dashboard!I$110*(1-Lists!$C$154)*(1-Lists!$D$154)</f>
        <v>1.6609611830188404</v>
      </c>
      <c r="M386" s="815">
        <f>'Manufacturing Costs'!M301*'Cost Input'!$F$84*M$183/Dashboard!J$110*(1-Lists!$C$154)*(1-Lists!$D$154)</f>
        <v>1.6609611830188404</v>
      </c>
      <c r="N386" s="562"/>
    </row>
    <row r="387" spans="2:14" outlineLevel="1" x14ac:dyDescent="0.15">
      <c r="C387" s="8" t="s">
        <v>1536</v>
      </c>
      <c r="D387" s="26"/>
      <c r="E387" s="26"/>
      <c r="F387" s="26"/>
      <c r="G387" s="815">
        <f>'Manufacturing Costs'!G302*'Cost Input'!$F$81*24*'Cost Input'!$F$94*G$184/Dashboard!D$110*(1-Lists!$C$154)</f>
        <v>0.26269172479797542</v>
      </c>
      <c r="H387" s="815">
        <f>'Manufacturing Costs'!H302*'Cost Input'!$F$81*24*'Cost Input'!$F$94*H$184/Dashboard!E$110*(1-Lists!$C$154)</f>
        <v>0.26269172479797542</v>
      </c>
      <c r="I387" s="815">
        <f>'Manufacturing Costs'!I302*'Cost Input'!$F$81*24*'Cost Input'!$F$94*I$184/Dashboard!F$110*(1-Lists!$C$154)</f>
        <v>0.26269172479797542</v>
      </c>
      <c r="J387" s="815">
        <f>'Manufacturing Costs'!J302*'Cost Input'!$F$81*24*'Cost Input'!$F$94*J$184/Dashboard!G$110*(1-Lists!$C$154)</f>
        <v>0.26269172479797542</v>
      </c>
      <c r="K387" s="815">
        <f>'Manufacturing Costs'!K302*'Cost Input'!$F$81*24*'Cost Input'!$F$94*K$184/Dashboard!H$110*(1-Lists!$C$154)</f>
        <v>0.26269172479797542</v>
      </c>
      <c r="L387" s="815">
        <f>'Manufacturing Costs'!L302*'Cost Input'!$F$81*24*'Cost Input'!$F$94*L$184/Dashboard!I$110*(1-Lists!$C$154)</f>
        <v>0.26269172479797542</v>
      </c>
      <c r="M387" s="815">
        <f>'Manufacturing Costs'!M302*'Cost Input'!$F$81*24*'Cost Input'!$F$94*M$184/Dashboard!J$110*(1-Lists!$C$154)</f>
        <v>0.26269172479797542</v>
      </c>
      <c r="N387" s="562"/>
    </row>
    <row r="388" spans="2:14" outlineLevel="1" x14ac:dyDescent="0.15">
      <c r="C388" s="8" t="s">
        <v>1676</v>
      </c>
      <c r="D388" s="26"/>
      <c r="E388" s="26"/>
      <c r="F388" s="26"/>
      <c r="G388" s="815">
        <f>SUM(G384:G387)</f>
        <v>24.726350699535921</v>
      </c>
      <c r="H388" s="815">
        <f t="shared" ref="H388:M388" si="142">SUM(H384:H387)</f>
        <v>24.726350699535921</v>
      </c>
      <c r="I388" s="815">
        <f t="shared" si="142"/>
        <v>24.726350699535921</v>
      </c>
      <c r="J388" s="815">
        <f t="shared" si="142"/>
        <v>24.726350699535921</v>
      </c>
      <c r="K388" s="815">
        <f t="shared" si="142"/>
        <v>24.726350699535921</v>
      </c>
      <c r="L388" s="815">
        <f t="shared" si="142"/>
        <v>24.726350699535921</v>
      </c>
      <c r="M388" s="815">
        <f t="shared" si="142"/>
        <v>24.726350699535921</v>
      </c>
      <c r="N388" s="562"/>
    </row>
    <row r="389" spans="2:14" outlineLevel="1" x14ac:dyDescent="0.15">
      <c r="C389" s="8"/>
      <c r="D389" s="26"/>
      <c r="E389" s="26"/>
      <c r="F389" s="26"/>
      <c r="G389" s="367"/>
      <c r="H389" s="367"/>
      <c r="I389" s="367"/>
      <c r="J389" s="367"/>
      <c r="K389" s="367"/>
      <c r="L389" s="367"/>
      <c r="M389" s="367"/>
      <c r="N389" s="562"/>
    </row>
    <row r="390" spans="2:14" ht="14" outlineLevel="1" x14ac:dyDescent="0.15">
      <c r="B390" s="507" t="s">
        <v>1198</v>
      </c>
      <c r="C390" s="8"/>
      <c r="D390" s="26"/>
      <c r="E390" s="26"/>
      <c r="F390" s="26"/>
      <c r="G390" s="367"/>
      <c r="H390" s="367"/>
      <c r="I390" s="367"/>
      <c r="J390" s="367"/>
      <c r="K390" s="367"/>
      <c r="L390" s="367"/>
      <c r="M390" s="367"/>
      <c r="N390" s="562"/>
    </row>
    <row r="391" spans="2:14" outlineLevel="1" x14ac:dyDescent="0.15">
      <c r="C391" s="8" t="s">
        <v>1673</v>
      </c>
      <c r="D391" s="26"/>
      <c r="E391" s="26"/>
      <c r="F391" s="26"/>
      <c r="G391" s="815">
        <f>'Manufacturing Costs'!G306*'Cost Input'!$F$93*G$181/Dashboard!D$110*(1-Lists!$C$154)*(1-Lists!$D$154)</f>
        <v>4.5636356765515327</v>
      </c>
      <c r="H391" s="815">
        <f>'Manufacturing Costs'!H306*'Cost Input'!$F$93*H$181/Dashboard!E$110*(1-Lists!$C$154)*(1-Lists!$D$154)</f>
        <v>4.5636356765515327</v>
      </c>
      <c r="I391" s="815">
        <f>'Manufacturing Costs'!I306*'Cost Input'!$F$93*I$181/Dashboard!F$110*(1-Lists!$C$154)*(1-Lists!$D$154)</f>
        <v>4.5636356765515327</v>
      </c>
      <c r="J391" s="815">
        <f>'Manufacturing Costs'!J306*'Cost Input'!$F$93*J$181/Dashboard!G$110*(1-Lists!$C$154)*(1-Lists!$D$154)</f>
        <v>4.5636356765515327</v>
      </c>
      <c r="K391" s="815">
        <f>'Manufacturing Costs'!K306*'Cost Input'!$F$93*K$181/Dashboard!H$110*(1-Lists!$C$154)*(1-Lists!$D$154)</f>
        <v>4.5636356765515327</v>
      </c>
      <c r="L391" s="815">
        <f>'Manufacturing Costs'!L306*'Cost Input'!$F$93*L$181/Dashboard!I$110*(1-Lists!$C$154)*(1-Lists!$D$154)</f>
        <v>4.5636356765515327</v>
      </c>
      <c r="M391" s="815">
        <f>'Manufacturing Costs'!M306*'Cost Input'!$F$93*M$181/Dashboard!J$110*(1-Lists!$C$154)*(1-Lists!$D$154)</f>
        <v>4.5636356765515327</v>
      </c>
      <c r="N391" s="562"/>
    </row>
    <row r="392" spans="2:14" outlineLevel="1" x14ac:dyDescent="0.15">
      <c r="C392" s="8" t="s">
        <v>1674</v>
      </c>
      <c r="D392" s="26"/>
      <c r="E392" s="26"/>
      <c r="F392" s="26"/>
      <c r="G392" s="815">
        <f>'Manufacturing Costs'!G307*1000000*G$182/Dashboard!D$110*(1-Lists!$C$154)*(1-Lists!$D$154)</f>
        <v>4.8726226407002322</v>
      </c>
      <c r="H392" s="815">
        <f>'Manufacturing Costs'!H307*1000000*H$182/Dashboard!E$110*(1-Lists!$C$154)*(1-Lists!$D$154)</f>
        <v>4.8726226407002322</v>
      </c>
      <c r="I392" s="815">
        <f>'Manufacturing Costs'!I307*1000000*I$182/Dashboard!F$110*(1-Lists!$C$154)*(1-Lists!$D$154)</f>
        <v>4.8726226407002322</v>
      </c>
      <c r="J392" s="815">
        <f>'Manufacturing Costs'!J307*1000000*J$182/Dashboard!G$110*(1-Lists!$C$154)*(1-Lists!$D$154)</f>
        <v>4.8726226407002322</v>
      </c>
      <c r="K392" s="815">
        <f>'Manufacturing Costs'!K307*1000000*K$182/Dashboard!H$110*(1-Lists!$C$154)*(1-Lists!$D$154)</f>
        <v>4.8726226407002322</v>
      </c>
      <c r="L392" s="815">
        <f>'Manufacturing Costs'!L307*1000000*L$182/Dashboard!I$110*(1-Lists!$C$154)*(1-Lists!$D$154)</f>
        <v>4.8726226407002322</v>
      </c>
      <c r="M392" s="815">
        <f>'Manufacturing Costs'!M307*1000000*M$182/Dashboard!J$110*(1-Lists!$C$154)*(1-Lists!$D$154)</f>
        <v>4.8726226407002322</v>
      </c>
      <c r="N392" s="562"/>
    </row>
    <row r="393" spans="2:14" outlineLevel="1" x14ac:dyDescent="0.15">
      <c r="C393" s="8" t="s">
        <v>1675</v>
      </c>
      <c r="D393" s="26"/>
      <c r="E393" s="26"/>
      <c r="F393" s="26"/>
      <c r="G393" s="815">
        <f>'Manufacturing Costs'!G308*'Cost Input'!$F$84*G$183/Dashboard!D$110*(1-Lists!$C$154)*(1-Lists!$D$154)</f>
        <v>1.6970690348235979</v>
      </c>
      <c r="H393" s="815">
        <f>'Manufacturing Costs'!H308*'Cost Input'!$F$84*H$183/Dashboard!E$110*(1-Lists!$C$154)*(1-Lists!$D$154)</f>
        <v>1.6970690348235979</v>
      </c>
      <c r="I393" s="815">
        <f>'Manufacturing Costs'!I308*'Cost Input'!$F$84*I$183/Dashboard!F$110*(1-Lists!$C$154)*(1-Lists!$D$154)</f>
        <v>1.6970690348235979</v>
      </c>
      <c r="J393" s="815">
        <f>'Manufacturing Costs'!J308*'Cost Input'!$F$84*J$183/Dashboard!G$110*(1-Lists!$C$154)*(1-Lists!$D$154)</f>
        <v>1.6970690348235979</v>
      </c>
      <c r="K393" s="815">
        <f>'Manufacturing Costs'!K308*'Cost Input'!$F$84*K$183/Dashboard!H$110*(1-Lists!$C$154)*(1-Lists!$D$154)</f>
        <v>1.6970690348235979</v>
      </c>
      <c r="L393" s="815">
        <f>'Manufacturing Costs'!L308*'Cost Input'!$F$84*L$183/Dashboard!I$110*(1-Lists!$C$154)*(1-Lists!$D$154)</f>
        <v>1.6970690348235979</v>
      </c>
      <c r="M393" s="815">
        <f>'Manufacturing Costs'!M308*'Cost Input'!$F$84*M$183/Dashboard!J$110*(1-Lists!$C$154)*(1-Lists!$D$154)</f>
        <v>1.6970690348235979</v>
      </c>
      <c r="N393" s="562"/>
    </row>
    <row r="394" spans="2:14" outlineLevel="1" x14ac:dyDescent="0.15">
      <c r="C394" s="8" t="s">
        <v>1536</v>
      </c>
      <c r="D394" s="26"/>
      <c r="E394" s="26"/>
      <c r="F394" s="26"/>
      <c r="G394" s="815">
        <f>'Manufacturing Costs'!G309*'Cost Input'!$F$81*24*'Cost Input'!$F$94*G$184/Dashboard!D$110*(1-Lists!$C$154)</f>
        <v>0.65672931199493867</v>
      </c>
      <c r="H394" s="815">
        <f>'Manufacturing Costs'!H309*'Cost Input'!$F$81*24*'Cost Input'!$F$94*H$184/Dashboard!E$110*(1-Lists!$C$154)</f>
        <v>0.65672931199493867</v>
      </c>
      <c r="I394" s="815">
        <f>'Manufacturing Costs'!I309*'Cost Input'!$F$81*24*'Cost Input'!$F$94*I$184/Dashboard!F$110*(1-Lists!$C$154)</f>
        <v>0.65672931199493867</v>
      </c>
      <c r="J394" s="815">
        <f>'Manufacturing Costs'!J309*'Cost Input'!$F$81*24*'Cost Input'!$F$94*J$184/Dashboard!G$110*(1-Lists!$C$154)</f>
        <v>0.65672931199493867</v>
      </c>
      <c r="K394" s="815">
        <f>'Manufacturing Costs'!K309*'Cost Input'!$F$81*24*'Cost Input'!$F$94*K$184/Dashboard!H$110*(1-Lists!$C$154)</f>
        <v>0.65672931199493867</v>
      </c>
      <c r="L394" s="815">
        <f>'Manufacturing Costs'!L309*'Cost Input'!$F$81*24*'Cost Input'!$F$94*L$184/Dashboard!I$110*(1-Lists!$C$154)</f>
        <v>0.65672931199493867</v>
      </c>
      <c r="M394" s="815">
        <f>'Manufacturing Costs'!M309*'Cost Input'!$F$81*24*'Cost Input'!$F$94*M$184/Dashboard!J$110*(1-Lists!$C$154)</f>
        <v>0.65672931199493867</v>
      </c>
      <c r="N394" s="562"/>
    </row>
    <row r="395" spans="2:14" outlineLevel="1" x14ac:dyDescent="0.15">
      <c r="C395" s="8" t="s">
        <v>1676</v>
      </c>
      <c r="D395" s="26"/>
      <c r="E395" s="26"/>
      <c r="F395" s="26"/>
      <c r="G395" s="815">
        <f>SUM(G391:G394)</f>
        <v>11.790056664070301</v>
      </c>
      <c r="H395" s="815">
        <f t="shared" ref="H395:M395" si="143">SUM(H391:H394)</f>
        <v>11.790056664070301</v>
      </c>
      <c r="I395" s="815">
        <f t="shared" si="143"/>
        <v>11.790056664070301</v>
      </c>
      <c r="J395" s="815">
        <f t="shared" si="143"/>
        <v>11.790056664070301</v>
      </c>
      <c r="K395" s="815">
        <f t="shared" si="143"/>
        <v>11.790056664070301</v>
      </c>
      <c r="L395" s="815">
        <f t="shared" si="143"/>
        <v>11.790056664070301</v>
      </c>
      <c r="M395" s="815">
        <f t="shared" si="143"/>
        <v>11.790056664070301</v>
      </c>
      <c r="N395" s="562"/>
    </row>
    <row r="396" spans="2:14" outlineLevel="1" x14ac:dyDescent="0.15">
      <c r="C396" s="8"/>
      <c r="D396" s="26"/>
      <c r="E396" s="26"/>
      <c r="F396" s="26"/>
      <c r="G396" s="367"/>
      <c r="H396" s="367"/>
      <c r="I396" s="367"/>
      <c r="J396" s="367"/>
      <c r="K396" s="367"/>
      <c r="L396" s="367"/>
      <c r="M396" s="367"/>
      <c r="N396" s="562"/>
    </row>
    <row r="397" spans="2:14" ht="14" outlineLevel="1" x14ac:dyDescent="0.15">
      <c r="B397" s="507" t="s">
        <v>1199</v>
      </c>
      <c r="C397" s="8"/>
      <c r="D397" s="26"/>
      <c r="E397" s="26"/>
      <c r="F397" s="26"/>
      <c r="G397" s="367"/>
      <c r="H397" s="367"/>
      <c r="I397" s="367"/>
      <c r="J397" s="367"/>
      <c r="K397" s="367"/>
      <c r="L397" s="367"/>
      <c r="M397" s="367"/>
      <c r="N397" s="562"/>
    </row>
    <row r="398" spans="2:14" outlineLevel="1" x14ac:dyDescent="0.15">
      <c r="C398" s="8" t="s">
        <v>1673</v>
      </c>
      <c r="D398" s="26"/>
      <c r="E398" s="26"/>
      <c r="F398" s="26"/>
      <c r="G398" s="815">
        <f>'Manufacturing Costs'!G313*'Cost Input'!$F$93*G$181/Dashboard!D$110*(1-Lists!$C$154)*(1-Lists!$D$154)</f>
        <v>12.107604856157128</v>
      </c>
      <c r="H398" s="815">
        <f>'Manufacturing Costs'!H313*'Cost Input'!$F$93*H$181/Dashboard!E$110*(1-Lists!$C$154)*(1-Lists!$D$154)</f>
        <v>12.107604856157128</v>
      </c>
      <c r="I398" s="815">
        <f>'Manufacturing Costs'!I313*'Cost Input'!$F$93*I$181/Dashboard!F$110*(1-Lists!$C$154)*(1-Lists!$D$154)</f>
        <v>12.107604856157128</v>
      </c>
      <c r="J398" s="815">
        <f>'Manufacturing Costs'!J313*'Cost Input'!$F$93*J$181/Dashboard!G$110*(1-Lists!$C$154)*(1-Lists!$D$154)</f>
        <v>12.107604856157128</v>
      </c>
      <c r="K398" s="815">
        <f>'Manufacturing Costs'!K313*'Cost Input'!$F$93*K$181/Dashboard!H$110*(1-Lists!$C$154)*(1-Lists!$D$154)</f>
        <v>12.107604856157128</v>
      </c>
      <c r="L398" s="815">
        <f>'Manufacturing Costs'!L313*'Cost Input'!$F$93*L$181/Dashboard!I$110*(1-Lists!$C$154)*(1-Lists!$D$154)</f>
        <v>12.107604856157128</v>
      </c>
      <c r="M398" s="815">
        <f>'Manufacturing Costs'!M313*'Cost Input'!$F$93*M$181/Dashboard!J$110*(1-Lists!$C$154)*(1-Lists!$D$154)</f>
        <v>12.107604856157128</v>
      </c>
      <c r="N398" s="562"/>
    </row>
    <row r="399" spans="2:14" outlineLevel="1" x14ac:dyDescent="0.15">
      <c r="C399" s="8" t="s">
        <v>1674</v>
      </c>
      <c r="D399" s="26"/>
      <c r="E399" s="26"/>
      <c r="F399" s="26"/>
      <c r="G399" s="815">
        <f>'Manufacturing Costs'!G314*1000000*G$182/Dashboard!D$110*(1-Lists!$C$154)*(1-Lists!$D$154)</f>
        <v>11.0741423652278</v>
      </c>
      <c r="H399" s="815">
        <f>'Manufacturing Costs'!H314*1000000*H$182/Dashboard!E$110*(1-Lists!$C$154)*(1-Lists!$D$154)</f>
        <v>11.0741423652278</v>
      </c>
      <c r="I399" s="815">
        <f>'Manufacturing Costs'!I314*1000000*I$182/Dashboard!F$110*(1-Lists!$C$154)*(1-Lists!$D$154)</f>
        <v>11.0741423652278</v>
      </c>
      <c r="J399" s="815">
        <f>'Manufacturing Costs'!J314*1000000*J$182/Dashboard!G$110*(1-Lists!$C$154)*(1-Lists!$D$154)</f>
        <v>11.0741423652278</v>
      </c>
      <c r="K399" s="815">
        <f>'Manufacturing Costs'!K314*1000000*K$182/Dashboard!H$110*(1-Lists!$C$154)*(1-Lists!$D$154)</f>
        <v>11.0741423652278</v>
      </c>
      <c r="L399" s="815">
        <f>'Manufacturing Costs'!L314*1000000*L$182/Dashboard!I$110*(1-Lists!$C$154)*(1-Lists!$D$154)</f>
        <v>11.0741423652278</v>
      </c>
      <c r="M399" s="815">
        <f>'Manufacturing Costs'!M314*1000000*M$182/Dashboard!J$110*(1-Lists!$C$154)*(1-Lists!$D$154)</f>
        <v>11.0741423652278</v>
      </c>
      <c r="N399" s="562"/>
    </row>
    <row r="400" spans="2:14" outlineLevel="1" x14ac:dyDescent="0.15">
      <c r="C400" s="8" t="s">
        <v>1675</v>
      </c>
      <c r="D400" s="26"/>
      <c r="E400" s="26"/>
      <c r="F400" s="26"/>
      <c r="G400" s="815">
        <f>'Manufacturing Costs'!G315*'Cost Input'!$F$84*G$183/Dashboard!D$110*(1-Lists!$C$154)*(1-Lists!$D$154)</f>
        <v>3.9718636985233133</v>
      </c>
      <c r="H400" s="815">
        <f>'Manufacturing Costs'!H315*'Cost Input'!$F$84*H$183/Dashboard!E$110*(1-Lists!$C$154)*(1-Lists!$D$154)</f>
        <v>3.9718636985233133</v>
      </c>
      <c r="I400" s="815">
        <f>'Manufacturing Costs'!I315*'Cost Input'!$F$84*I$183/Dashboard!F$110*(1-Lists!$C$154)*(1-Lists!$D$154)</f>
        <v>3.9718636985233133</v>
      </c>
      <c r="J400" s="815">
        <f>'Manufacturing Costs'!J315*'Cost Input'!$F$84*J$183/Dashboard!G$110*(1-Lists!$C$154)*(1-Lists!$D$154)</f>
        <v>3.9718636985233133</v>
      </c>
      <c r="K400" s="815">
        <f>'Manufacturing Costs'!K315*'Cost Input'!$F$84*K$183/Dashboard!H$110*(1-Lists!$C$154)*(1-Lists!$D$154)</f>
        <v>3.9718636985233133</v>
      </c>
      <c r="L400" s="815">
        <f>'Manufacturing Costs'!L315*'Cost Input'!$F$84*L$183/Dashboard!I$110*(1-Lists!$C$154)*(1-Lists!$D$154)</f>
        <v>3.9718636985233133</v>
      </c>
      <c r="M400" s="815">
        <f>'Manufacturing Costs'!M315*'Cost Input'!$F$84*M$183/Dashboard!J$110*(1-Lists!$C$154)*(1-Lists!$D$154)</f>
        <v>3.9718636985233133</v>
      </c>
      <c r="N400" s="562"/>
    </row>
    <row r="401" spans="2:14" outlineLevel="1" x14ac:dyDescent="0.15">
      <c r="C401" s="8" t="s">
        <v>1536</v>
      </c>
      <c r="D401" s="26"/>
      <c r="E401" s="26"/>
      <c r="F401" s="26"/>
      <c r="G401" s="815">
        <f>'Manufacturing Costs'!G316*'Cost Input'!$F$81*24*'Cost Input'!$F$94*G$184/Dashboard!D$110*(1-Lists!$C$154)</f>
        <v>1.5761503487878528</v>
      </c>
      <c r="H401" s="815">
        <f>'Manufacturing Costs'!H316*'Cost Input'!$F$81*24*'Cost Input'!$F$94*H$184/Dashboard!E$110*(1-Lists!$C$154)</f>
        <v>1.5761503487878528</v>
      </c>
      <c r="I401" s="815">
        <f>'Manufacturing Costs'!I316*'Cost Input'!$F$81*24*'Cost Input'!$F$94*I$184/Dashboard!F$110*(1-Lists!$C$154)</f>
        <v>1.5761503487878528</v>
      </c>
      <c r="J401" s="815">
        <f>'Manufacturing Costs'!J316*'Cost Input'!$F$81*24*'Cost Input'!$F$94*J$184/Dashboard!G$110*(1-Lists!$C$154)</f>
        <v>1.5761503487878528</v>
      </c>
      <c r="K401" s="815">
        <f>'Manufacturing Costs'!K316*'Cost Input'!$F$81*24*'Cost Input'!$F$94*K$184/Dashboard!H$110*(1-Lists!$C$154)</f>
        <v>1.5761503487878528</v>
      </c>
      <c r="L401" s="815">
        <f>'Manufacturing Costs'!L316*'Cost Input'!$F$81*24*'Cost Input'!$F$94*L$184/Dashboard!I$110*(1-Lists!$C$154)</f>
        <v>1.5761503487878528</v>
      </c>
      <c r="M401" s="815">
        <f>'Manufacturing Costs'!M316*'Cost Input'!$F$81*24*'Cost Input'!$F$94*M$184/Dashboard!J$110*(1-Lists!$C$154)</f>
        <v>1.5761503487878528</v>
      </c>
      <c r="N401" s="562"/>
    </row>
    <row r="402" spans="2:14" outlineLevel="1" x14ac:dyDescent="0.15">
      <c r="C402" s="8" t="s">
        <v>1676</v>
      </c>
      <c r="D402" s="26"/>
      <c r="E402" s="26"/>
      <c r="F402" s="26"/>
      <c r="G402" s="815">
        <f>SUM(G398:G401)</f>
        <v>28.729761268696095</v>
      </c>
      <c r="H402" s="815">
        <f t="shared" ref="H402:M402" si="144">SUM(H398:H401)</f>
        <v>28.729761268696095</v>
      </c>
      <c r="I402" s="815">
        <f t="shared" si="144"/>
        <v>28.729761268696095</v>
      </c>
      <c r="J402" s="815">
        <f t="shared" si="144"/>
        <v>28.729761268696095</v>
      </c>
      <c r="K402" s="815">
        <f t="shared" si="144"/>
        <v>28.729761268696095</v>
      </c>
      <c r="L402" s="815">
        <f t="shared" si="144"/>
        <v>28.729761268696095</v>
      </c>
      <c r="M402" s="815">
        <f t="shared" si="144"/>
        <v>28.729761268696095</v>
      </c>
      <c r="N402" s="562"/>
    </row>
    <row r="403" spans="2:14" outlineLevel="1" x14ac:dyDescent="0.15">
      <c r="C403" s="8"/>
      <c r="D403" s="26"/>
      <c r="E403" s="26"/>
      <c r="F403" s="26"/>
      <c r="G403" s="367"/>
      <c r="H403" s="367"/>
      <c r="I403" s="367"/>
      <c r="J403" s="367"/>
      <c r="K403" s="367"/>
      <c r="L403" s="367"/>
      <c r="M403" s="367"/>
      <c r="N403" s="562"/>
    </row>
    <row r="404" spans="2:14" ht="14" outlineLevel="1" x14ac:dyDescent="0.15">
      <c r="B404" s="507" t="s">
        <v>1685</v>
      </c>
      <c r="C404" s="8"/>
      <c r="D404" s="26"/>
      <c r="E404" s="26"/>
      <c r="F404" s="26"/>
      <c r="G404" s="367"/>
      <c r="H404" s="367"/>
      <c r="I404" s="367"/>
      <c r="J404" s="367"/>
      <c r="K404" s="367"/>
      <c r="L404" s="367"/>
      <c r="M404" s="367"/>
      <c r="N404" s="562"/>
    </row>
    <row r="405" spans="2:14" outlineLevel="1" x14ac:dyDescent="0.15">
      <c r="C405" s="8" t="s">
        <v>1673</v>
      </c>
      <c r="D405" s="26"/>
      <c r="E405" s="26"/>
      <c r="F405" s="26"/>
      <c r="G405" s="815">
        <f ca="1">'Manufacturing Costs'!G320*'Cost Input'!$F$93*G$181/Dashboard!D$110*(1-Lists!$C$154)*(1-Lists!$D$154)</f>
        <v>0.93324000000000007</v>
      </c>
      <c r="H405" s="815">
        <f ca="1">'Manufacturing Costs'!H320*'Cost Input'!$F$93*H$181/Dashboard!E$110*(1-Lists!$C$154)*(1-Lists!$D$154)</f>
        <v>0.93324000000000007</v>
      </c>
      <c r="I405" s="815">
        <f ca="1">'Manufacturing Costs'!I320*'Cost Input'!$F$93*I$181/Dashboard!F$110*(1-Lists!$C$154)*(1-Lists!$D$154)</f>
        <v>0.93324000000000007</v>
      </c>
      <c r="J405" s="815">
        <f ca="1">'Manufacturing Costs'!J320*'Cost Input'!$F$93*J$181/Dashboard!G$110*(1-Lists!$C$154)*(1-Lists!$D$154)</f>
        <v>0.93324000000000007</v>
      </c>
      <c r="K405" s="815">
        <f ca="1">'Manufacturing Costs'!K320*'Cost Input'!$F$93*K$181/Dashboard!H$110*(1-Lists!$C$154)*(1-Lists!$D$154)</f>
        <v>0.93324000000000007</v>
      </c>
      <c r="L405" s="815">
        <f ca="1">'Manufacturing Costs'!L320*'Cost Input'!$F$93*L$181/Dashboard!I$110*(1-Lists!$C$154)*(1-Lists!$D$154)</f>
        <v>0.93324000000000007</v>
      </c>
      <c r="M405" s="815">
        <f ca="1">'Manufacturing Costs'!M320*'Cost Input'!$F$93*M$181/Dashboard!J$110*(1-Lists!$C$154)*(1-Lists!$D$154)</f>
        <v>0.93324000000000007</v>
      </c>
      <c r="N405" s="562"/>
    </row>
    <row r="406" spans="2:14" outlineLevel="1" x14ac:dyDescent="0.15">
      <c r="C406" s="8" t="s">
        <v>1674</v>
      </c>
      <c r="D406" s="26"/>
      <c r="E406" s="26"/>
      <c r="F406" s="26"/>
      <c r="G406" s="815">
        <f ca="1">'Manufacturing Costs'!G321*1000000*G$182/Dashboard!D$110*(1-Lists!$C$154)*(1-Lists!$D$154)</f>
        <v>3.2336495706465178</v>
      </c>
      <c r="H406" s="815">
        <f ca="1">'Manufacturing Costs'!H321*1000000*H$182/Dashboard!E$110*(1-Lists!$C$154)*(1-Lists!$D$154)</f>
        <v>3.2336495706465178</v>
      </c>
      <c r="I406" s="815">
        <f ca="1">'Manufacturing Costs'!I321*1000000*I$182/Dashboard!F$110*(1-Lists!$C$154)*(1-Lists!$D$154)</f>
        <v>3.2336495706465178</v>
      </c>
      <c r="J406" s="815">
        <f ca="1">'Manufacturing Costs'!J321*1000000*J$182/Dashboard!G$110*(1-Lists!$C$154)*(1-Lists!$D$154)</f>
        <v>3.2336495706465178</v>
      </c>
      <c r="K406" s="815">
        <f ca="1">'Manufacturing Costs'!K321*1000000*K$182/Dashboard!H$110*(1-Lists!$C$154)*(1-Lists!$D$154)</f>
        <v>3.2336495706465178</v>
      </c>
      <c r="L406" s="815">
        <f ca="1">'Manufacturing Costs'!L321*1000000*L$182/Dashboard!I$110*(1-Lists!$C$154)*(1-Lists!$D$154)</f>
        <v>3.2336495706465178</v>
      </c>
      <c r="M406" s="815">
        <f ca="1">'Manufacturing Costs'!M321*1000000*M$182/Dashboard!J$110*(1-Lists!$C$154)*(1-Lists!$D$154)</f>
        <v>3.2336495706465178</v>
      </c>
      <c r="N406" s="562"/>
    </row>
    <row r="407" spans="2:14" outlineLevel="1" x14ac:dyDescent="0.15">
      <c r="C407" s="8" t="s">
        <v>1675</v>
      </c>
      <c r="D407" s="26"/>
      <c r="E407" s="26"/>
      <c r="F407" s="26"/>
      <c r="G407" s="815">
        <f ca="1">'Manufacturing Costs'!G322*'Cost Input'!$F$84*G$183/Dashboard!D$110*(1-Lists!$C$154)*(1-Lists!$D$154)</f>
        <v>0.25275496263330177</v>
      </c>
      <c r="H407" s="815">
        <f ca="1">'Manufacturing Costs'!H322*'Cost Input'!$F$84*H$183/Dashboard!E$110*(1-Lists!$C$154)*(1-Lists!$D$154)</f>
        <v>0.25275496263330177</v>
      </c>
      <c r="I407" s="815">
        <f ca="1">'Manufacturing Costs'!I322*'Cost Input'!$F$84*I$183/Dashboard!F$110*(1-Lists!$C$154)*(1-Lists!$D$154)</f>
        <v>0.25275496263330177</v>
      </c>
      <c r="J407" s="815">
        <f ca="1">'Manufacturing Costs'!J322*'Cost Input'!$F$84*J$183/Dashboard!G$110*(1-Lists!$C$154)*(1-Lists!$D$154)</f>
        <v>0.25275496263330177</v>
      </c>
      <c r="K407" s="815">
        <f ca="1">'Manufacturing Costs'!K322*'Cost Input'!$F$84*K$183/Dashboard!H$110*(1-Lists!$C$154)*(1-Lists!$D$154)</f>
        <v>0.25275496263330177</v>
      </c>
      <c r="L407" s="815">
        <f ca="1">'Manufacturing Costs'!L322*'Cost Input'!$F$84*L$183/Dashboard!I$110*(1-Lists!$C$154)*(1-Lists!$D$154)</f>
        <v>0.25275496263330177</v>
      </c>
      <c r="M407" s="815">
        <f ca="1">'Manufacturing Costs'!M322*'Cost Input'!$F$84*M$183/Dashboard!J$110*(1-Lists!$C$154)*(1-Lists!$D$154)</f>
        <v>0.25275496263330177</v>
      </c>
      <c r="N407" s="562"/>
    </row>
    <row r="408" spans="2:14" outlineLevel="1" x14ac:dyDescent="0.15">
      <c r="C408" s="8" t="s">
        <v>1536</v>
      </c>
      <c r="D408" s="26"/>
      <c r="E408" s="26"/>
      <c r="F408" s="26"/>
      <c r="G408" s="815">
        <f ca="1">'Manufacturing Costs'!G323*'Cost Input'!$F$81*24*'Cost Input'!$F$94*G$184/Dashboard!D$110*(1-Lists!$C$154)</f>
        <v>0.1970187935984816</v>
      </c>
      <c r="H408" s="815">
        <f ca="1">'Manufacturing Costs'!H323*'Cost Input'!$F$81*24*'Cost Input'!$F$94*H$184/Dashboard!E$110*(1-Lists!$C$154)</f>
        <v>0.1970187935984816</v>
      </c>
      <c r="I408" s="815">
        <f ca="1">'Manufacturing Costs'!I323*'Cost Input'!$F$81*24*'Cost Input'!$F$94*I$184/Dashboard!F$110*(1-Lists!$C$154)</f>
        <v>0.1970187935984816</v>
      </c>
      <c r="J408" s="815">
        <f ca="1">'Manufacturing Costs'!J323*'Cost Input'!$F$81*24*'Cost Input'!$F$94*J$184/Dashboard!G$110*(1-Lists!$C$154)</f>
        <v>0.1970187935984816</v>
      </c>
      <c r="K408" s="815">
        <f ca="1">'Manufacturing Costs'!K323*'Cost Input'!$F$81*24*'Cost Input'!$F$94*K$184/Dashboard!H$110*(1-Lists!$C$154)</f>
        <v>0.1970187935984816</v>
      </c>
      <c r="L408" s="815">
        <f ca="1">'Manufacturing Costs'!L323*'Cost Input'!$F$81*24*'Cost Input'!$F$94*L$184/Dashboard!I$110*(1-Lists!$C$154)</f>
        <v>0.1970187935984816</v>
      </c>
      <c r="M408" s="815">
        <f ca="1">'Manufacturing Costs'!M323*'Cost Input'!$F$81*24*'Cost Input'!$F$94*M$184/Dashboard!J$110*(1-Lists!$C$154)</f>
        <v>0.1970187935984816</v>
      </c>
      <c r="N408" s="562"/>
    </row>
    <row r="409" spans="2:14" outlineLevel="1" x14ac:dyDescent="0.15">
      <c r="C409" s="8" t="s">
        <v>1676</v>
      </c>
      <c r="D409" s="26"/>
      <c r="E409" s="26"/>
      <c r="F409" s="26"/>
      <c r="G409" s="815">
        <f ca="1">SUM(G405:G408)</f>
        <v>4.6166633268783013</v>
      </c>
      <c r="H409" s="815">
        <f t="shared" ref="H409:M409" ca="1" si="145">SUM(H405:H408)</f>
        <v>4.6166633268783013</v>
      </c>
      <c r="I409" s="815">
        <f t="shared" ca="1" si="145"/>
        <v>4.6166633268783013</v>
      </c>
      <c r="J409" s="815">
        <f t="shared" ca="1" si="145"/>
        <v>4.6166633268783013</v>
      </c>
      <c r="K409" s="815">
        <f t="shared" ca="1" si="145"/>
        <v>4.6166633268783013</v>
      </c>
      <c r="L409" s="815">
        <f t="shared" ca="1" si="145"/>
        <v>4.6166633268783013</v>
      </c>
      <c r="M409" s="815">
        <f t="shared" ca="1" si="145"/>
        <v>4.6166633268783013</v>
      </c>
      <c r="N409" s="562"/>
    </row>
    <row r="410" spans="2:14" outlineLevel="1" x14ac:dyDescent="0.15">
      <c r="C410" s="8"/>
      <c r="D410" s="26"/>
      <c r="E410" s="26"/>
      <c r="F410" s="26"/>
      <c r="G410" s="815"/>
      <c r="H410" s="815"/>
      <c r="I410" s="815"/>
      <c r="J410" s="815"/>
      <c r="K410" s="815"/>
      <c r="L410" s="815"/>
      <c r="M410" s="815"/>
      <c r="N410" s="562"/>
    </row>
    <row r="411" spans="2:14" ht="14" outlineLevel="1" x14ac:dyDescent="0.15">
      <c r="B411" s="507" t="s">
        <v>1686</v>
      </c>
      <c r="C411" s="8"/>
      <c r="D411" s="26"/>
      <c r="E411" s="26"/>
      <c r="F411" s="26"/>
      <c r="G411" s="815"/>
      <c r="H411" s="815"/>
      <c r="I411" s="815"/>
      <c r="J411" s="815"/>
      <c r="K411" s="815"/>
      <c r="L411" s="815"/>
      <c r="M411" s="815"/>
      <c r="N411" s="562"/>
    </row>
    <row r="412" spans="2:14" outlineLevel="1" x14ac:dyDescent="0.15">
      <c r="C412" s="8" t="s">
        <v>1673</v>
      </c>
      <c r="D412" s="26"/>
      <c r="E412" s="26"/>
      <c r="F412" s="26"/>
      <c r="G412" s="815">
        <f ca="1">G363+G370+G377+G384+G391+G398+G405</f>
        <v>137.1786894795506</v>
      </c>
      <c r="H412" s="815">
        <f t="shared" ref="H412:M412" ca="1" si="146">H363+H370+H377+H384+H391+H398+H405</f>
        <v>137.1786894795506</v>
      </c>
      <c r="I412" s="815">
        <f t="shared" ca="1" si="146"/>
        <v>137.1786894795506</v>
      </c>
      <c r="J412" s="815">
        <f t="shared" ca="1" si="146"/>
        <v>137.1786894795506</v>
      </c>
      <c r="K412" s="815">
        <f t="shared" ca="1" si="146"/>
        <v>137.1786894795506</v>
      </c>
      <c r="L412" s="815">
        <f t="shared" ca="1" si="146"/>
        <v>137.1786894795506</v>
      </c>
      <c r="M412" s="815">
        <f t="shared" ca="1" si="146"/>
        <v>137.1786894795506</v>
      </c>
      <c r="N412" s="562"/>
    </row>
    <row r="413" spans="2:14" outlineLevel="1" x14ac:dyDescent="0.15">
      <c r="C413" s="8" t="s">
        <v>1674</v>
      </c>
      <c r="D413" s="26"/>
      <c r="E413" s="26"/>
      <c r="F413" s="26"/>
      <c r="G413" s="815">
        <f ca="1">G364+G371+G378+G385+G392+G399+G406</f>
        <v>211.95808533270309</v>
      </c>
      <c r="H413" s="815">
        <f t="shared" ref="H413:M413" ca="1" si="147">H364+H371+H378+H385+H392+H399+H406</f>
        <v>211.95808533270309</v>
      </c>
      <c r="I413" s="815">
        <f t="shared" ca="1" si="147"/>
        <v>211.95808533270309</v>
      </c>
      <c r="J413" s="815">
        <f t="shared" ca="1" si="147"/>
        <v>211.95808533270309</v>
      </c>
      <c r="K413" s="815">
        <f t="shared" ca="1" si="147"/>
        <v>211.95808533270309</v>
      </c>
      <c r="L413" s="815">
        <f t="shared" ca="1" si="147"/>
        <v>211.95808533270309</v>
      </c>
      <c r="M413" s="815">
        <f t="shared" ca="1" si="147"/>
        <v>211.95808533270309</v>
      </c>
      <c r="N413" s="562"/>
    </row>
    <row r="414" spans="2:14" outlineLevel="1" x14ac:dyDescent="0.15">
      <c r="C414" s="8" t="s">
        <v>1675</v>
      </c>
      <c r="D414" s="26"/>
      <c r="E414" s="26"/>
      <c r="F414" s="26"/>
      <c r="G414" s="815">
        <f ca="1">G365+G372+G379+G386+G393+G400+G407</f>
        <v>16.606433320997894</v>
      </c>
      <c r="H414" s="815">
        <f t="shared" ref="H414:M414" ca="1" si="148">H365+H372+H379+H386+H393+H400+H407</f>
        <v>16.606433320997894</v>
      </c>
      <c r="I414" s="815">
        <f t="shared" ca="1" si="148"/>
        <v>16.606433320997894</v>
      </c>
      <c r="J414" s="815">
        <f t="shared" ca="1" si="148"/>
        <v>16.606433320997894</v>
      </c>
      <c r="K414" s="815">
        <f t="shared" ca="1" si="148"/>
        <v>16.606433320997894</v>
      </c>
      <c r="L414" s="815">
        <f t="shared" ca="1" si="148"/>
        <v>16.606433320997894</v>
      </c>
      <c r="M414" s="815">
        <f t="shared" ca="1" si="148"/>
        <v>16.606433320997894</v>
      </c>
      <c r="N414" s="562"/>
    </row>
    <row r="415" spans="2:14" outlineLevel="1" x14ac:dyDescent="0.15">
      <c r="C415" s="8" t="s">
        <v>1536</v>
      </c>
      <c r="D415" s="26"/>
      <c r="E415" s="26"/>
      <c r="F415" s="26"/>
      <c r="G415" s="815">
        <f ca="1">G366+G373+G380+G387+G394+G401+G408</f>
        <v>7.9410098855211562</v>
      </c>
      <c r="H415" s="815">
        <f t="shared" ref="H415:M415" ca="1" si="149">H366+H373+H380+H387+H394+H401+H408</f>
        <v>7.9410098855211562</v>
      </c>
      <c r="I415" s="815">
        <f t="shared" ca="1" si="149"/>
        <v>7.9410098855211562</v>
      </c>
      <c r="J415" s="815">
        <f t="shared" ca="1" si="149"/>
        <v>7.9410098855211562</v>
      </c>
      <c r="K415" s="815">
        <f t="shared" ca="1" si="149"/>
        <v>7.9410098855211562</v>
      </c>
      <c r="L415" s="815">
        <f t="shared" ca="1" si="149"/>
        <v>7.9410098855211562</v>
      </c>
      <c r="M415" s="815">
        <f t="shared" ca="1" si="149"/>
        <v>7.9410098855211562</v>
      </c>
      <c r="N415" s="562"/>
    </row>
    <row r="416" spans="2:14" outlineLevel="1" x14ac:dyDescent="0.15">
      <c r="C416" s="8" t="s">
        <v>1676</v>
      </c>
      <c r="D416" s="26"/>
      <c r="E416" s="26"/>
      <c r="F416" s="26"/>
      <c r="G416" s="815">
        <f ca="1">G367+G374+G381+G388+G395+G402+G409</f>
        <v>373.68421801877275</v>
      </c>
      <c r="H416" s="815">
        <f t="shared" ref="H416:M416" ca="1" si="150">H367+H374+H381+H388+H395+H402+H409</f>
        <v>373.68421801877275</v>
      </c>
      <c r="I416" s="815">
        <f t="shared" ca="1" si="150"/>
        <v>373.68421801877275</v>
      </c>
      <c r="J416" s="815">
        <f t="shared" ca="1" si="150"/>
        <v>373.68421801877275</v>
      </c>
      <c r="K416" s="815">
        <f t="shared" ca="1" si="150"/>
        <v>373.68421801877275</v>
      </c>
      <c r="L416" s="815">
        <f t="shared" ca="1" si="150"/>
        <v>373.68421801877275</v>
      </c>
      <c r="M416" s="815">
        <f t="shared" ca="1" si="150"/>
        <v>373.68421801877275</v>
      </c>
      <c r="N416" s="562"/>
    </row>
    <row r="417" spans="2:14" outlineLevel="1" x14ac:dyDescent="0.15">
      <c r="C417" s="8"/>
      <c r="D417" s="26"/>
      <c r="E417" s="26"/>
      <c r="F417" s="26"/>
      <c r="G417" s="367"/>
      <c r="H417" s="367"/>
      <c r="I417" s="367"/>
      <c r="J417" s="367"/>
      <c r="K417" s="367"/>
      <c r="L417" s="367"/>
      <c r="M417" s="367"/>
      <c r="N417" s="562"/>
    </row>
    <row r="418" spans="2:14" ht="16" outlineLevel="1" x14ac:dyDescent="0.2">
      <c r="B418" s="5" t="s">
        <v>1687</v>
      </c>
      <c r="C418" s="8"/>
      <c r="D418" s="26"/>
      <c r="E418" s="26"/>
      <c r="F418" s="26"/>
      <c r="G418" s="367"/>
      <c r="H418" s="367"/>
      <c r="I418" s="367"/>
      <c r="J418" s="367"/>
      <c r="K418" s="367"/>
      <c r="L418" s="367"/>
      <c r="M418" s="367"/>
      <c r="N418" s="562"/>
    </row>
    <row r="419" spans="2:14" ht="14" outlineLevel="1" x14ac:dyDescent="0.15">
      <c r="B419" s="507" t="s">
        <v>1203</v>
      </c>
      <c r="C419" s="26"/>
      <c r="D419" s="26"/>
      <c r="E419" s="26"/>
      <c r="F419" s="26"/>
      <c r="G419" s="367"/>
      <c r="H419" s="367"/>
      <c r="I419" s="367"/>
      <c r="J419" s="367"/>
      <c r="K419" s="367"/>
      <c r="L419" s="367"/>
      <c r="M419" s="367"/>
      <c r="N419" s="562"/>
    </row>
    <row r="420" spans="2:14" outlineLevel="1" x14ac:dyDescent="0.15">
      <c r="C420" s="8" t="s">
        <v>1673</v>
      </c>
      <c r="D420" s="26"/>
      <c r="E420" s="26"/>
      <c r="F420" s="26"/>
      <c r="G420" s="815">
        <f ca="1">'Manufacturing Costs'!G330*'Cost Input'!$F$93*G$181/Dashboard!D$110*(1-Lists!$C$154)*(1-Lists!$D$154)</f>
        <v>52.16540285131785</v>
      </c>
      <c r="H420" s="815">
        <f ca="1">'Manufacturing Costs'!H330*'Cost Input'!$F$93*H$181/Dashboard!E$110*(1-Lists!$C$154)*(1-Lists!$D$154)</f>
        <v>52.16540285131785</v>
      </c>
      <c r="I420" s="815">
        <f ca="1">'Manufacturing Costs'!I330*'Cost Input'!$F$93*I$181/Dashboard!F$110*(1-Lists!$C$154)*(1-Lists!$D$154)</f>
        <v>52.16540285131785</v>
      </c>
      <c r="J420" s="815">
        <f ca="1">'Manufacturing Costs'!J330*'Cost Input'!$F$93*J$181/Dashboard!G$110*(1-Lists!$C$154)*(1-Lists!$D$154)</f>
        <v>52.16540285131785</v>
      </c>
      <c r="K420" s="815">
        <f ca="1">'Manufacturing Costs'!K330*'Cost Input'!$F$93*K$181/Dashboard!H$110*(1-Lists!$C$154)*(1-Lists!$D$154)</f>
        <v>52.16540285131785</v>
      </c>
      <c r="L420" s="815">
        <f ca="1">'Manufacturing Costs'!L330*'Cost Input'!$F$93*L$181/Dashboard!I$110*(1-Lists!$C$154)*(1-Lists!$D$154)</f>
        <v>52.16540285131785</v>
      </c>
      <c r="M420" s="815">
        <f ca="1">'Manufacturing Costs'!M330*'Cost Input'!$F$93*M$181/Dashboard!J$110*(1-Lists!$C$154)*(1-Lists!$D$154)</f>
        <v>52.16540285131785</v>
      </c>
      <c r="N420" s="562"/>
    </row>
    <row r="421" spans="2:14" outlineLevel="1" x14ac:dyDescent="0.15">
      <c r="C421" s="8" t="s">
        <v>1674</v>
      </c>
      <c r="D421" s="26"/>
      <c r="E421" s="26"/>
      <c r="F421" s="26"/>
      <c r="G421" s="815">
        <f ca="1">'Manufacturing Costs'!G331*1000000*G$182/Dashboard!D$110*(1-Lists!$C$154)*(1-Lists!$D$154)</f>
        <v>355.91643598799908</v>
      </c>
      <c r="H421" s="815">
        <f ca="1">'Manufacturing Costs'!H331*1000000*H$182/Dashboard!E$110*(1-Lists!$C$154)*(1-Lists!$D$154)</f>
        <v>355.91643598799908</v>
      </c>
      <c r="I421" s="815">
        <f ca="1">'Manufacturing Costs'!I331*1000000*I$182/Dashboard!F$110*(1-Lists!$C$154)*(1-Lists!$D$154)</f>
        <v>355.91643598799908</v>
      </c>
      <c r="J421" s="815">
        <f ca="1">'Manufacturing Costs'!J331*1000000*J$182/Dashboard!G$110*(1-Lists!$C$154)*(1-Lists!$D$154)</f>
        <v>355.91643598799908</v>
      </c>
      <c r="K421" s="815">
        <f ca="1">'Manufacturing Costs'!K331*1000000*K$182/Dashboard!H$110*(1-Lists!$C$154)*(1-Lists!$D$154)</f>
        <v>355.91643598799908</v>
      </c>
      <c r="L421" s="815">
        <f ca="1">'Manufacturing Costs'!L331*1000000*L$182/Dashboard!I$110*(1-Lists!$C$154)*(1-Lists!$D$154)</f>
        <v>355.91643598799908</v>
      </c>
      <c r="M421" s="815">
        <f ca="1">'Manufacturing Costs'!M331*1000000*M$182/Dashboard!J$110*(1-Lists!$C$154)*(1-Lists!$D$154)</f>
        <v>355.91643598799908</v>
      </c>
      <c r="N421" s="562"/>
    </row>
    <row r="422" spans="2:14" outlineLevel="1" x14ac:dyDescent="0.15">
      <c r="C422" s="8" t="s">
        <v>1688</v>
      </c>
      <c r="D422" s="26"/>
      <c r="E422" s="26"/>
      <c r="F422" s="26"/>
      <c r="G422" s="815">
        <f ca="1">'Manufacturing Costs'!G332*'Cost Input'!$F$84*G$183/Dashboard!D$110*(1-Lists!$C$154)*(1-Lists!$D$154)</f>
        <v>39.708069701073221</v>
      </c>
      <c r="H422" s="815">
        <f ca="1">'Manufacturing Costs'!H332*'Cost Input'!$F$84*H$183/Dashboard!E$110*(1-Lists!$C$154)*(1-Lists!$D$154)</f>
        <v>39.708069701073221</v>
      </c>
      <c r="I422" s="815">
        <f ca="1">'Manufacturing Costs'!I332*'Cost Input'!$F$84*I$183/Dashboard!F$110*(1-Lists!$C$154)*(1-Lists!$D$154)</f>
        <v>39.708069701073221</v>
      </c>
      <c r="J422" s="815">
        <f ca="1">'Manufacturing Costs'!J332*'Cost Input'!$F$84*J$183/Dashboard!G$110*(1-Lists!$C$154)*(1-Lists!$D$154)</f>
        <v>39.708069701073221</v>
      </c>
      <c r="K422" s="815">
        <f ca="1">'Manufacturing Costs'!K332*'Cost Input'!$F$84*K$183/Dashboard!H$110*(1-Lists!$C$154)*(1-Lists!$D$154)</f>
        <v>39.708069701073221</v>
      </c>
      <c r="L422" s="815">
        <f ca="1">'Manufacturing Costs'!L332*'Cost Input'!$F$84*L$183/Dashboard!I$110*(1-Lists!$C$154)*(1-Lists!$D$154)</f>
        <v>39.708069701073221</v>
      </c>
      <c r="M422" s="815">
        <f ca="1">'Manufacturing Costs'!M332*'Cost Input'!$F$84*M$183/Dashboard!J$110*(1-Lists!$C$154)*(1-Lists!$D$154)</f>
        <v>39.708069701073221</v>
      </c>
      <c r="N422" s="562"/>
    </row>
    <row r="423" spans="2:14" outlineLevel="1" x14ac:dyDescent="0.15">
      <c r="C423" s="8" t="s">
        <v>1536</v>
      </c>
      <c r="D423" s="26"/>
      <c r="E423" s="26"/>
      <c r="F423" s="26"/>
      <c r="G423" s="815">
        <f ca="1">'Manufacturing Costs'!G333*'Cost Input'!$F$81*24*'Cost Input'!$F$94*G$184/Dashboard!D$110*(1-Lists!$C$154)</f>
        <v>47.279197230248542</v>
      </c>
      <c r="H423" s="815">
        <f ca="1">'Manufacturing Costs'!H333*'Cost Input'!$F$81*24*'Cost Input'!$F$94*H$184/Dashboard!E$110*(1-Lists!$C$154)</f>
        <v>47.279197230248542</v>
      </c>
      <c r="I423" s="815">
        <f ca="1">'Manufacturing Costs'!I333*'Cost Input'!$F$81*24*'Cost Input'!$F$94*I$184/Dashboard!F$110*(1-Lists!$C$154)</f>
        <v>47.279197230248542</v>
      </c>
      <c r="J423" s="815">
        <f ca="1">'Manufacturing Costs'!J333*'Cost Input'!$F$81*24*'Cost Input'!$F$94*J$184/Dashboard!G$110*(1-Lists!$C$154)</f>
        <v>47.279197230248542</v>
      </c>
      <c r="K423" s="815">
        <f ca="1">'Manufacturing Costs'!K333*'Cost Input'!$F$81*24*'Cost Input'!$F$94*K$184/Dashboard!H$110*(1-Lists!$C$154)</f>
        <v>47.279197230248542</v>
      </c>
      <c r="L423" s="815">
        <f ca="1">'Manufacturing Costs'!L333*'Cost Input'!$F$81*24*'Cost Input'!$F$94*L$184/Dashboard!I$110*(1-Lists!$C$154)</f>
        <v>47.279197230248542</v>
      </c>
      <c r="M423" s="815">
        <f ca="1">'Manufacturing Costs'!M333*'Cost Input'!$F$81*24*'Cost Input'!$F$94*M$184/Dashboard!J$110*(1-Lists!$C$154)</f>
        <v>47.279197230248542</v>
      </c>
      <c r="N423" s="562"/>
    </row>
    <row r="424" spans="2:14" outlineLevel="1" x14ac:dyDescent="0.15">
      <c r="C424" s="8" t="s">
        <v>1676</v>
      </c>
      <c r="G424" s="815">
        <f ca="1">SUM(G420:G423)</f>
        <v>495.06910577063866</v>
      </c>
      <c r="H424" s="815">
        <f t="shared" ref="H424:M424" ca="1" si="151">SUM(H420:H423)</f>
        <v>495.06910577063866</v>
      </c>
      <c r="I424" s="815">
        <f t="shared" ca="1" si="151"/>
        <v>495.06910577063866</v>
      </c>
      <c r="J424" s="815">
        <f t="shared" ca="1" si="151"/>
        <v>495.06910577063866</v>
      </c>
      <c r="K424" s="815">
        <f t="shared" ca="1" si="151"/>
        <v>495.06910577063866</v>
      </c>
      <c r="L424" s="815">
        <f t="shared" ca="1" si="151"/>
        <v>495.06910577063866</v>
      </c>
      <c r="M424" s="815">
        <f t="shared" ca="1" si="151"/>
        <v>495.06910577063866</v>
      </c>
    </row>
    <row r="425" spans="2:14" outlineLevel="1" x14ac:dyDescent="0.15">
      <c r="C425" s="8"/>
      <c r="D425" s="26"/>
      <c r="E425" s="26"/>
      <c r="F425" s="26"/>
      <c r="G425" s="367"/>
      <c r="H425" s="367"/>
      <c r="I425" s="367"/>
      <c r="J425" s="367"/>
      <c r="K425" s="367"/>
      <c r="L425" s="367"/>
      <c r="M425" s="367"/>
      <c r="N425" s="562"/>
    </row>
    <row r="426" spans="2:14" ht="16" outlineLevel="1" x14ac:dyDescent="0.2">
      <c r="B426" s="5" t="s">
        <v>1205</v>
      </c>
      <c r="C426" s="26"/>
      <c r="D426" s="26"/>
      <c r="E426" s="26"/>
      <c r="F426" s="26"/>
      <c r="G426" s="367"/>
      <c r="H426" s="367"/>
      <c r="I426" s="367"/>
      <c r="J426" s="367"/>
      <c r="K426" s="367"/>
      <c r="L426" s="367"/>
      <c r="M426" s="367"/>
      <c r="N426" s="562"/>
    </row>
    <row r="427" spans="2:14" ht="14" outlineLevel="1" x14ac:dyDescent="0.15">
      <c r="B427" s="507" t="s">
        <v>1206</v>
      </c>
      <c r="C427" s="26"/>
      <c r="D427" s="26"/>
      <c r="E427" s="26"/>
      <c r="F427" s="26"/>
      <c r="G427" s="367"/>
      <c r="H427" s="367"/>
      <c r="I427" s="367"/>
      <c r="J427" s="367"/>
      <c r="K427" s="367"/>
      <c r="L427" s="367"/>
      <c r="M427" s="367"/>
      <c r="N427" s="562"/>
    </row>
    <row r="428" spans="2:14" outlineLevel="1" x14ac:dyDescent="0.15">
      <c r="C428" s="8" t="s">
        <v>1673</v>
      </c>
      <c r="D428" s="26"/>
      <c r="E428" s="26"/>
      <c r="F428" s="26"/>
      <c r="G428" s="815">
        <f>'Manufacturing Costs'!G339*'Cost Input'!$F$93*G$181/Dashboard!D$110*(1-Lists!$D$154)</f>
        <v>15.865080000000003</v>
      </c>
      <c r="H428" s="815">
        <f>'Manufacturing Costs'!H339*'Cost Input'!$F$93*H$181/Dashboard!E$110*(1-Lists!$D$154)</f>
        <v>15.865080000000003</v>
      </c>
      <c r="I428" s="815">
        <f>'Manufacturing Costs'!I339*'Cost Input'!$F$93*I$181/Dashboard!F$110*(1-Lists!$D$154)</f>
        <v>15.865080000000003</v>
      </c>
      <c r="J428" s="815">
        <f>'Manufacturing Costs'!J339*'Cost Input'!$F$93*J$181/Dashboard!G$110*(1-Lists!$D$154)</f>
        <v>15.865080000000003</v>
      </c>
      <c r="K428" s="815">
        <f>'Manufacturing Costs'!K339*'Cost Input'!$F$93*K$181/Dashboard!H$110*(1-Lists!$D$154)</f>
        <v>15.865080000000003</v>
      </c>
      <c r="L428" s="815">
        <f>'Manufacturing Costs'!L339*'Cost Input'!$F$93*L$181/Dashboard!I$110*(1-Lists!$D$154)</f>
        <v>15.865080000000003</v>
      </c>
      <c r="M428" s="815">
        <f>'Manufacturing Costs'!M339*'Cost Input'!$F$93*M$181/Dashboard!J$110*(1-Lists!$D$154)</f>
        <v>15.865080000000003</v>
      </c>
      <c r="N428" s="562"/>
    </row>
    <row r="429" spans="2:14" outlineLevel="1" x14ac:dyDescent="0.15">
      <c r="C429" s="8" t="s">
        <v>1674</v>
      </c>
      <c r="D429" s="26"/>
      <c r="E429" s="26"/>
      <c r="F429" s="26"/>
      <c r="G429" s="815">
        <f>'Manufacturing Costs'!G340*1000000*G$182/Dashboard!D$110*(1-Lists!$D$154)</f>
        <v>47.283047421311274</v>
      </c>
      <c r="H429" s="815">
        <f>'Manufacturing Costs'!H340*1000000*H$182/Dashboard!E$110*(1-Lists!$D$154)</f>
        <v>47.283047421311274</v>
      </c>
      <c r="I429" s="815">
        <f>'Manufacturing Costs'!I340*1000000*I$182/Dashboard!F$110*(1-Lists!$D$154)</f>
        <v>47.283047421311274</v>
      </c>
      <c r="J429" s="815">
        <f>'Manufacturing Costs'!J340*1000000*J$182/Dashboard!G$110*(1-Lists!$D$154)</f>
        <v>47.283047421311274</v>
      </c>
      <c r="K429" s="815">
        <f>'Manufacturing Costs'!K340*1000000*K$182/Dashboard!H$110*(1-Lists!$D$154)</f>
        <v>47.283047421311274</v>
      </c>
      <c r="L429" s="815">
        <f>'Manufacturing Costs'!L340*1000000*L$182/Dashboard!I$110*(1-Lists!$D$154)</f>
        <v>47.283047421311274</v>
      </c>
      <c r="M429" s="815">
        <f>'Manufacturing Costs'!M340*1000000*M$182/Dashboard!J$110*(1-Lists!$D$154)</f>
        <v>47.283047421311274</v>
      </c>
      <c r="N429" s="562"/>
    </row>
    <row r="430" spans="2:14" outlineLevel="1" x14ac:dyDescent="0.15">
      <c r="C430" s="8" t="s">
        <v>1675</v>
      </c>
      <c r="D430" s="26"/>
      <c r="E430" s="26"/>
      <c r="F430" s="26"/>
      <c r="G430" s="815">
        <f>'Manufacturing Costs'!G341*'Cost Input'!$F$84*G$183/Dashboard!D$110*(1-Lists!$D$154)</f>
        <v>9.7699575599999982</v>
      </c>
      <c r="H430" s="815">
        <f>'Manufacturing Costs'!H341*'Cost Input'!$F$84*H$183/Dashboard!E$110*(1-Lists!$D$154)</f>
        <v>9.7699575599999982</v>
      </c>
      <c r="I430" s="815">
        <f>'Manufacturing Costs'!I341*'Cost Input'!$F$84*I$183/Dashboard!F$110*(1-Lists!$D$154)</f>
        <v>9.7699575599999982</v>
      </c>
      <c r="J430" s="815">
        <f>'Manufacturing Costs'!J341*'Cost Input'!$F$84*J$183/Dashboard!G$110*(1-Lists!$D$154)</f>
        <v>9.7699575599999982</v>
      </c>
      <c r="K430" s="815">
        <f>'Manufacturing Costs'!K341*'Cost Input'!$F$84*K$183/Dashboard!H$110*(1-Lists!$D$154)</f>
        <v>9.7699575599999982</v>
      </c>
      <c r="L430" s="815">
        <f>'Manufacturing Costs'!L341*'Cost Input'!$F$84*L$183/Dashboard!I$110*(1-Lists!$D$154)</f>
        <v>9.7699575599999982</v>
      </c>
      <c r="M430" s="815">
        <f>'Manufacturing Costs'!M341*'Cost Input'!$F$84*M$183/Dashboard!J$110*(1-Lists!$D$154)</f>
        <v>9.7699575599999982</v>
      </c>
      <c r="N430" s="562"/>
    </row>
    <row r="431" spans="2:14" outlineLevel="1" x14ac:dyDescent="0.15">
      <c r="C431" s="8" t="s">
        <v>1536</v>
      </c>
      <c r="D431" s="26"/>
      <c r="E431" s="26"/>
      <c r="F431" s="26"/>
      <c r="G431" s="815">
        <f>'Manufacturing Costs'!G342*'Cost Input'!$F$81*24*'Cost Input'!$F$94*G$184/Dashboard!D$110*(1-Lists!$C$154)</f>
        <v>2.0402122752</v>
      </c>
      <c r="H431" s="815">
        <f>'Manufacturing Costs'!H342*'Cost Input'!$F$81*24*'Cost Input'!$F$94*H$184/Dashboard!E$110*(1-Lists!$C$154)</f>
        <v>2.0402122752</v>
      </c>
      <c r="I431" s="815">
        <f>'Manufacturing Costs'!I342*'Cost Input'!$F$81*24*'Cost Input'!$F$94*I$184/Dashboard!F$110*(1-Lists!$C$154)</f>
        <v>2.0402122752</v>
      </c>
      <c r="J431" s="815">
        <f>'Manufacturing Costs'!J342*'Cost Input'!$F$81*24*'Cost Input'!$F$94*J$184/Dashboard!G$110*(1-Lists!$C$154)</f>
        <v>2.0402122752</v>
      </c>
      <c r="K431" s="815">
        <f>'Manufacturing Costs'!K342*'Cost Input'!$F$81*24*'Cost Input'!$F$94*K$184/Dashboard!H$110*(1-Lists!$C$154)</f>
        <v>2.0402122752</v>
      </c>
      <c r="L431" s="815">
        <f>'Manufacturing Costs'!L342*'Cost Input'!$F$81*24*'Cost Input'!$F$94*L$184/Dashboard!I$110*(1-Lists!$C$154)</f>
        <v>2.0402122752</v>
      </c>
      <c r="M431" s="815">
        <f>'Manufacturing Costs'!M342*'Cost Input'!$F$81*24*'Cost Input'!$F$94*M$184/Dashboard!J$110*(1-Lists!$C$154)</f>
        <v>2.0402122752</v>
      </c>
      <c r="N431" s="562"/>
    </row>
    <row r="432" spans="2:14" ht="16" outlineLevel="1" x14ac:dyDescent="0.2">
      <c r="B432" s="5"/>
      <c r="C432" s="8" t="s">
        <v>1676</v>
      </c>
      <c r="D432" s="26"/>
      <c r="E432" s="26"/>
      <c r="F432" s="26"/>
      <c r="G432" s="815">
        <f>SUM(G428:G431)</f>
        <v>74.958297256511273</v>
      </c>
      <c r="H432" s="815">
        <f t="shared" ref="H432:M432" si="152">SUM(H428:H431)</f>
        <v>74.958297256511273</v>
      </c>
      <c r="I432" s="815">
        <f t="shared" si="152"/>
        <v>74.958297256511273</v>
      </c>
      <c r="J432" s="815">
        <f t="shared" si="152"/>
        <v>74.958297256511273</v>
      </c>
      <c r="K432" s="815">
        <f t="shared" si="152"/>
        <v>74.958297256511273</v>
      </c>
      <c r="L432" s="815">
        <f t="shared" si="152"/>
        <v>74.958297256511273</v>
      </c>
      <c r="M432" s="815">
        <f t="shared" si="152"/>
        <v>74.958297256511273</v>
      </c>
      <c r="N432" s="562"/>
    </row>
    <row r="433" spans="2:14" ht="16" outlineLevel="1" x14ac:dyDescent="0.2">
      <c r="B433" s="5"/>
      <c r="C433" s="8"/>
      <c r="D433" s="26"/>
      <c r="E433" s="26"/>
      <c r="F433" s="26"/>
      <c r="G433" s="367"/>
      <c r="H433" s="367"/>
      <c r="I433" s="367"/>
      <c r="J433" s="367"/>
      <c r="K433" s="367"/>
      <c r="L433" s="367"/>
      <c r="M433" s="367"/>
      <c r="N433" s="562"/>
    </row>
    <row r="434" spans="2:14" ht="16" outlineLevel="1" x14ac:dyDescent="0.2">
      <c r="B434" s="5" t="s">
        <v>1208</v>
      </c>
      <c r="C434" s="26"/>
      <c r="D434" s="26"/>
      <c r="E434" s="26"/>
      <c r="F434" s="26"/>
      <c r="G434" s="367"/>
      <c r="H434" s="367"/>
      <c r="I434" s="367"/>
      <c r="J434" s="367"/>
      <c r="K434" s="367"/>
      <c r="L434" s="367"/>
      <c r="M434" s="367"/>
      <c r="N434" s="562"/>
    </row>
    <row r="435" spans="2:14" ht="14" outlineLevel="1" x14ac:dyDescent="0.15">
      <c r="B435" s="507" t="s">
        <v>1209</v>
      </c>
      <c r="C435" s="26"/>
      <c r="D435" s="26"/>
      <c r="E435" s="26"/>
      <c r="F435" s="26"/>
      <c r="G435" s="367"/>
      <c r="H435" s="367"/>
      <c r="I435" s="367"/>
      <c r="J435" s="367"/>
      <c r="K435" s="367"/>
      <c r="L435" s="367"/>
      <c r="M435" s="367"/>
      <c r="N435" s="562"/>
    </row>
    <row r="436" spans="2:14" outlineLevel="1" x14ac:dyDescent="0.15">
      <c r="C436" s="8" t="s">
        <v>1673</v>
      </c>
      <c r="D436" s="26"/>
      <c r="E436" s="26"/>
      <c r="F436" s="26"/>
      <c r="G436" s="815">
        <f>'Manufacturing Costs'!G348*'Cost Input'!$F$93*G$181/Dashboard!D$110</f>
        <v>15.865080000000003</v>
      </c>
      <c r="H436" s="815">
        <f>'Manufacturing Costs'!H348*'Cost Input'!$F$93*H$181/Dashboard!E$110</f>
        <v>15.865080000000003</v>
      </c>
      <c r="I436" s="815">
        <f>'Manufacturing Costs'!I348*'Cost Input'!$F$93*I$181/Dashboard!F$110</f>
        <v>15.865080000000003</v>
      </c>
      <c r="J436" s="815">
        <f>'Manufacturing Costs'!J348*'Cost Input'!$F$93*J$181/Dashboard!G$110</f>
        <v>15.865080000000003</v>
      </c>
      <c r="K436" s="815">
        <f>'Manufacturing Costs'!K348*'Cost Input'!$F$93*K$181/Dashboard!H$110</f>
        <v>15.865080000000003</v>
      </c>
      <c r="L436" s="815">
        <f>'Manufacturing Costs'!L348*'Cost Input'!$F$93*L$181/Dashboard!I$110</f>
        <v>15.865080000000003</v>
      </c>
      <c r="M436" s="815">
        <f>'Manufacturing Costs'!M348*'Cost Input'!$F$93*M$181/Dashboard!J$110</f>
        <v>15.865080000000003</v>
      </c>
      <c r="N436" s="562"/>
    </row>
    <row r="437" spans="2:14" outlineLevel="1" x14ac:dyDescent="0.15">
      <c r="C437" s="8" t="s">
        <v>1674</v>
      </c>
      <c r="D437" s="26"/>
      <c r="E437" s="26"/>
      <c r="F437" s="26"/>
      <c r="G437" s="815">
        <f>'Manufacturing Costs'!G349*1000000*G$182/Dashboard!D$110</f>
        <v>40.405513250938725</v>
      </c>
      <c r="H437" s="815">
        <f>'Manufacturing Costs'!H349*1000000*H$182/Dashboard!E$110</f>
        <v>40.405513250938725</v>
      </c>
      <c r="I437" s="815">
        <f>'Manufacturing Costs'!I349*1000000*I$182/Dashboard!F$110</f>
        <v>40.405513250938725</v>
      </c>
      <c r="J437" s="815">
        <f>'Manufacturing Costs'!J349*1000000*J$182/Dashboard!G$110</f>
        <v>40.405513250938725</v>
      </c>
      <c r="K437" s="815">
        <f>'Manufacturing Costs'!K349*1000000*K$182/Dashboard!H$110</f>
        <v>40.405513250938725</v>
      </c>
      <c r="L437" s="815">
        <f>'Manufacturing Costs'!L349*1000000*L$182/Dashboard!I$110</f>
        <v>40.405513250938725</v>
      </c>
      <c r="M437" s="815">
        <f>'Manufacturing Costs'!M349*1000000*M$182/Dashboard!J$110</f>
        <v>40.405513250938725</v>
      </c>
      <c r="N437" s="562"/>
    </row>
    <row r="438" spans="2:14" outlineLevel="1" x14ac:dyDescent="0.15">
      <c r="C438" s="8" t="s">
        <v>1675</v>
      </c>
      <c r="D438" s="26"/>
      <c r="E438" s="26"/>
      <c r="F438" s="26"/>
      <c r="G438" s="815">
        <f>'Manufacturing Costs'!G350*'Cost Input'!$F$84*G$183/Dashboard!D$110</f>
        <v>9.7699575599999982</v>
      </c>
      <c r="H438" s="815">
        <f>'Manufacturing Costs'!H350*'Cost Input'!$F$84*H$183/Dashboard!E$110</f>
        <v>9.7699575599999982</v>
      </c>
      <c r="I438" s="815">
        <f>'Manufacturing Costs'!I350*'Cost Input'!$F$84*I$183/Dashboard!F$110</f>
        <v>9.7699575599999982</v>
      </c>
      <c r="J438" s="815">
        <f>'Manufacturing Costs'!J350*'Cost Input'!$F$84*J$183/Dashboard!G$110</f>
        <v>9.7699575599999982</v>
      </c>
      <c r="K438" s="815">
        <f>'Manufacturing Costs'!K350*'Cost Input'!$F$84*K$183/Dashboard!H$110</f>
        <v>9.7699575599999982</v>
      </c>
      <c r="L438" s="815">
        <f>'Manufacturing Costs'!L350*'Cost Input'!$F$84*L$183/Dashboard!I$110</f>
        <v>9.7699575599999982</v>
      </c>
      <c r="M438" s="815">
        <f>'Manufacturing Costs'!M350*'Cost Input'!$F$84*M$183/Dashboard!J$110</f>
        <v>9.7699575599999982</v>
      </c>
      <c r="N438" s="562"/>
    </row>
    <row r="439" spans="2:14" outlineLevel="1" x14ac:dyDescent="0.15">
      <c r="C439" s="8" t="s">
        <v>1536</v>
      </c>
      <c r="D439" s="26"/>
      <c r="E439" s="26"/>
      <c r="F439" s="26"/>
      <c r="G439" s="815">
        <f>'Manufacturing Costs'!G351*'Cost Input'!$F$81*24*'Cost Input'!$F$94*G$184/Dashboard!D$110*(1-Lists!$C$154)</f>
        <v>1.7769590784</v>
      </c>
      <c r="H439" s="815">
        <f>'Manufacturing Costs'!H351*'Cost Input'!$F$81*24*'Cost Input'!$F$94*H$184/Dashboard!E$110*(1-Lists!$C$154)</f>
        <v>1.7769590784</v>
      </c>
      <c r="I439" s="815">
        <f>'Manufacturing Costs'!I351*'Cost Input'!$F$81*24*'Cost Input'!$F$94*I$184/Dashboard!F$110*(1-Lists!$C$154)</f>
        <v>1.7769590784</v>
      </c>
      <c r="J439" s="815">
        <f>'Manufacturing Costs'!J351*'Cost Input'!$F$81*24*'Cost Input'!$F$94*J$184/Dashboard!G$110*(1-Lists!$C$154)</f>
        <v>1.7769590784</v>
      </c>
      <c r="K439" s="815">
        <f>'Manufacturing Costs'!K351*'Cost Input'!$F$81*24*'Cost Input'!$F$94*K$184/Dashboard!H$110*(1-Lists!$C$154)</f>
        <v>1.7769590784</v>
      </c>
      <c r="L439" s="815">
        <f>'Manufacturing Costs'!L351*'Cost Input'!$F$81*24*'Cost Input'!$F$94*L$184/Dashboard!I$110*(1-Lists!$C$154)</f>
        <v>1.7769590784</v>
      </c>
      <c r="M439" s="815">
        <f>'Manufacturing Costs'!M351*'Cost Input'!$F$81*24*'Cost Input'!$F$94*M$184/Dashboard!J$110*(1-Lists!$C$154)</f>
        <v>1.7769590784</v>
      </c>
      <c r="N439" s="562"/>
    </row>
    <row r="440" spans="2:14" outlineLevel="1" x14ac:dyDescent="0.15">
      <c r="C440" s="8" t="s">
        <v>1676</v>
      </c>
      <c r="D440" s="26"/>
      <c r="E440" s="26"/>
      <c r="F440" s="26"/>
      <c r="G440" s="815">
        <f>SUM(G436:G439)</f>
        <v>67.817509889338723</v>
      </c>
      <c r="H440" s="815">
        <f t="shared" ref="H440:M440" si="153">SUM(H436:H439)</f>
        <v>67.817509889338723</v>
      </c>
      <c r="I440" s="815">
        <f t="shared" si="153"/>
        <v>67.817509889338723</v>
      </c>
      <c r="J440" s="815">
        <f t="shared" si="153"/>
        <v>67.817509889338723</v>
      </c>
      <c r="K440" s="815">
        <f t="shared" si="153"/>
        <v>67.817509889338723</v>
      </c>
      <c r="L440" s="815">
        <f t="shared" si="153"/>
        <v>67.817509889338723</v>
      </c>
      <c r="M440" s="815">
        <f t="shared" si="153"/>
        <v>67.817509889338723</v>
      </c>
      <c r="N440" s="562"/>
    </row>
    <row r="441" spans="2:14" outlineLevel="1" x14ac:dyDescent="0.15">
      <c r="C441" s="8"/>
      <c r="D441" s="26"/>
      <c r="E441" s="26"/>
      <c r="F441" s="26"/>
      <c r="G441" s="367"/>
      <c r="H441" s="367"/>
      <c r="I441" s="367"/>
      <c r="J441" s="367"/>
      <c r="K441" s="367"/>
      <c r="L441" s="367"/>
      <c r="M441" s="367"/>
      <c r="N441" s="562"/>
    </row>
    <row r="442" spans="2:14" ht="16" outlineLevel="1" x14ac:dyDescent="0.2">
      <c r="B442" s="5" t="s">
        <v>1212</v>
      </c>
      <c r="C442" s="8"/>
      <c r="D442" s="26"/>
      <c r="E442" s="26"/>
      <c r="F442" s="26"/>
      <c r="G442" s="367"/>
      <c r="H442" s="367"/>
      <c r="I442" s="367"/>
      <c r="J442" s="367"/>
      <c r="K442" s="367"/>
      <c r="L442" s="367"/>
      <c r="M442" s="367"/>
      <c r="N442" s="562"/>
    </row>
    <row r="443" spans="2:14" ht="14" outlineLevel="1" x14ac:dyDescent="0.15">
      <c r="B443" s="507" t="s">
        <v>1213</v>
      </c>
      <c r="C443" s="8"/>
      <c r="D443" s="26"/>
      <c r="E443" s="26"/>
      <c r="F443" s="26"/>
      <c r="G443" s="367"/>
      <c r="H443" s="367"/>
      <c r="I443" s="367"/>
      <c r="J443" s="367"/>
      <c r="K443" s="367"/>
      <c r="L443" s="367"/>
      <c r="M443" s="367"/>
      <c r="N443" s="562"/>
    </row>
    <row r="444" spans="2:14" outlineLevel="1" x14ac:dyDescent="0.15">
      <c r="C444" s="8" t="s">
        <v>1673</v>
      </c>
      <c r="D444" s="26"/>
      <c r="E444" s="26"/>
      <c r="F444" s="26"/>
      <c r="G444" s="815">
        <f ca="1">'Manufacturing Costs'!G356*'Cost Input'!$F$93*G$181/Dashboard!D$110</f>
        <v>1.2132120000002977</v>
      </c>
      <c r="H444" s="815">
        <f ca="1">'Manufacturing Costs'!H356*'Cost Input'!$F$93*H$181/Dashboard!E$110</f>
        <v>1.2132120000002977</v>
      </c>
      <c r="I444" s="815">
        <f ca="1">'Manufacturing Costs'!I356*'Cost Input'!$F$93*I$181/Dashboard!F$110</f>
        <v>1.2132120000002977</v>
      </c>
      <c r="J444" s="815">
        <f ca="1">'Manufacturing Costs'!J356*'Cost Input'!$F$93*J$181/Dashboard!G$110</f>
        <v>1.2132120000002977</v>
      </c>
      <c r="K444" s="815">
        <f ca="1">'Manufacturing Costs'!K356*'Cost Input'!$F$93*K$181/Dashboard!H$110</f>
        <v>1.2132120000002977</v>
      </c>
      <c r="L444" s="815">
        <f ca="1">'Manufacturing Costs'!L356*'Cost Input'!$F$93*L$181/Dashboard!I$110</f>
        <v>1.2132120000002977</v>
      </c>
      <c r="M444" s="815">
        <f ca="1">'Manufacturing Costs'!M356*'Cost Input'!$F$93*M$181/Dashboard!J$110</f>
        <v>1.2132120000002977</v>
      </c>
      <c r="N444" s="562"/>
    </row>
    <row r="445" spans="2:14" outlineLevel="1" x14ac:dyDescent="0.15">
      <c r="C445" s="8" t="s">
        <v>1674</v>
      </c>
      <c r="D445" s="26"/>
      <c r="E445" s="26"/>
      <c r="F445" s="26"/>
      <c r="G445" s="815">
        <f ca="1">'Manufacturing Costs'!G423*1000000*G$182/Dashboard!D$110</f>
        <v>79.428044087209415</v>
      </c>
      <c r="H445" s="815">
        <f ca="1">'Manufacturing Costs'!H423*1000000*H$182/Dashboard!E$110</f>
        <v>79.428044087209415</v>
      </c>
      <c r="I445" s="815">
        <f ca="1">'Manufacturing Costs'!I423*1000000*I$182/Dashboard!F$110</f>
        <v>79.428044087209415</v>
      </c>
      <c r="J445" s="815">
        <f ca="1">'Manufacturing Costs'!J423*1000000*J$182/Dashboard!G$110</f>
        <v>79.428044087209415</v>
      </c>
      <c r="K445" s="815">
        <f ca="1">'Manufacturing Costs'!K423*1000000*K$182/Dashboard!H$110</f>
        <v>79.428044087209415</v>
      </c>
      <c r="L445" s="815">
        <f ca="1">'Manufacturing Costs'!L423*1000000*L$182/Dashboard!I$110</f>
        <v>79.428044087209415</v>
      </c>
      <c r="M445" s="815">
        <f ca="1">'Manufacturing Costs'!M423*1000000*M$182/Dashboard!J$110</f>
        <v>79.428044087209415</v>
      </c>
      <c r="N445" s="562"/>
    </row>
    <row r="446" spans="2:14" outlineLevel="1" x14ac:dyDescent="0.15">
      <c r="C446" s="8" t="s">
        <v>1675</v>
      </c>
      <c r="D446" s="26"/>
      <c r="E446" s="26"/>
      <c r="F446" s="26"/>
      <c r="G446" s="815">
        <f ca="1">'Manufacturing Costs'!G358*'Cost Input'!$F$84*G$183/Dashboard!D$110</f>
        <v>3.6185028000012038</v>
      </c>
      <c r="H446" s="815">
        <f ca="1">'Manufacturing Costs'!H358*'Cost Input'!$F$84*H$183/Dashboard!E$110</f>
        <v>3.6185028000012038</v>
      </c>
      <c r="I446" s="815">
        <f ca="1">'Manufacturing Costs'!I358*'Cost Input'!$F$84*I$183/Dashboard!F$110</f>
        <v>3.6185028000012038</v>
      </c>
      <c r="J446" s="815">
        <f ca="1">'Manufacturing Costs'!J358*'Cost Input'!$F$84*J$183/Dashboard!G$110</f>
        <v>3.6185028000012038</v>
      </c>
      <c r="K446" s="815">
        <f ca="1">'Manufacturing Costs'!K358*'Cost Input'!$F$84*K$183/Dashboard!H$110</f>
        <v>3.6185028000012038</v>
      </c>
      <c r="L446" s="815">
        <f ca="1">'Manufacturing Costs'!L358*'Cost Input'!$F$84*L$183/Dashboard!I$110</f>
        <v>3.6185028000012038</v>
      </c>
      <c r="M446" s="815">
        <f ca="1">'Manufacturing Costs'!M358*'Cost Input'!$F$84*M$183/Dashboard!J$110</f>
        <v>3.6185028000012038</v>
      </c>
      <c r="N446" s="562"/>
    </row>
    <row r="447" spans="2:14" outlineLevel="1" x14ac:dyDescent="0.15">
      <c r="C447" s="8" t="s">
        <v>1536</v>
      </c>
      <c r="D447" s="26"/>
      <c r="E447" s="26"/>
      <c r="F447" s="26"/>
      <c r="G447" s="815">
        <f ca="1">'Manufacturing Costs'!G359*'Cost Input'!$F$81*24*'Cost Input'!$F$94*G$184/Dashboard!D$110</f>
        <v>5.0676240384017763</v>
      </c>
      <c r="H447" s="815">
        <f ca="1">'Manufacturing Costs'!H359*'Cost Input'!$F$81*24*'Cost Input'!$F$94*H$184/Dashboard!E$110</f>
        <v>5.0676240384017763</v>
      </c>
      <c r="I447" s="815">
        <f ca="1">'Manufacturing Costs'!I359*'Cost Input'!$F$81*24*'Cost Input'!$F$94*I$184/Dashboard!F$110</f>
        <v>5.0676240384017763</v>
      </c>
      <c r="J447" s="815">
        <f ca="1">'Manufacturing Costs'!J359*'Cost Input'!$F$81*24*'Cost Input'!$F$94*J$184/Dashboard!G$110</f>
        <v>5.0676240384017763</v>
      </c>
      <c r="K447" s="815">
        <f ca="1">'Manufacturing Costs'!K359*'Cost Input'!$F$81*24*'Cost Input'!$F$94*K$184/Dashboard!H$110</f>
        <v>5.0676240384017763</v>
      </c>
      <c r="L447" s="815">
        <f ca="1">'Manufacturing Costs'!L359*'Cost Input'!$F$81*24*'Cost Input'!$F$94*L$184/Dashboard!I$110</f>
        <v>5.0676240384017763</v>
      </c>
      <c r="M447" s="815">
        <f ca="1">'Manufacturing Costs'!M359*'Cost Input'!$F$81*24*'Cost Input'!$F$94*M$184/Dashboard!J$110</f>
        <v>5.0676240384017763</v>
      </c>
      <c r="N447" s="562"/>
    </row>
    <row r="448" spans="2:14" outlineLevel="1" x14ac:dyDescent="0.15">
      <c r="C448" s="8" t="s">
        <v>1676</v>
      </c>
      <c r="D448" s="26"/>
      <c r="E448" s="26"/>
      <c r="F448" s="26"/>
      <c r="G448" s="815">
        <f ca="1">SUM(G444:G447)</f>
        <v>89.327382925612696</v>
      </c>
      <c r="H448" s="815">
        <f t="shared" ref="H448:M448" ca="1" si="154">SUM(H444:H447)</f>
        <v>89.327382925612696</v>
      </c>
      <c r="I448" s="815">
        <f t="shared" ca="1" si="154"/>
        <v>89.327382925612696</v>
      </c>
      <c r="J448" s="815">
        <f t="shared" ca="1" si="154"/>
        <v>89.327382925612696</v>
      </c>
      <c r="K448" s="815">
        <f t="shared" ca="1" si="154"/>
        <v>89.327382925612696</v>
      </c>
      <c r="L448" s="815">
        <f t="shared" ca="1" si="154"/>
        <v>89.327382925612696</v>
      </c>
      <c r="M448" s="815">
        <f t="shared" ca="1" si="154"/>
        <v>89.327382925612696</v>
      </c>
      <c r="N448" s="562"/>
    </row>
    <row r="449" spans="2:14" outlineLevel="1" x14ac:dyDescent="0.15">
      <c r="C449" s="8"/>
      <c r="D449" s="26"/>
      <c r="E449" s="26"/>
      <c r="F449" s="26"/>
      <c r="G449" s="367"/>
      <c r="H449" s="367"/>
      <c r="I449" s="367"/>
      <c r="J449" s="367"/>
      <c r="K449" s="367"/>
      <c r="L449" s="367"/>
      <c r="M449" s="367"/>
      <c r="N449" s="562"/>
    </row>
    <row r="450" spans="2:14" ht="16" outlineLevel="1" x14ac:dyDescent="0.2">
      <c r="B450" s="5" t="s">
        <v>1215</v>
      </c>
      <c r="D450" s="26"/>
      <c r="E450" s="26"/>
      <c r="F450" s="26"/>
      <c r="G450" s="367"/>
      <c r="H450" s="367"/>
      <c r="I450" s="367"/>
      <c r="J450" s="367"/>
      <c r="K450" s="367"/>
      <c r="L450" s="367"/>
      <c r="M450" s="367"/>
      <c r="N450" s="562"/>
    </row>
    <row r="451" spans="2:14" ht="14" outlineLevel="1" x14ac:dyDescent="0.15">
      <c r="B451" s="507" t="s">
        <v>1216</v>
      </c>
      <c r="D451" s="26"/>
      <c r="E451" s="26"/>
      <c r="F451" s="26"/>
      <c r="G451" s="367"/>
      <c r="H451" s="367"/>
      <c r="I451" s="367"/>
      <c r="J451" s="367"/>
      <c r="K451" s="367"/>
      <c r="L451" s="367"/>
      <c r="M451" s="367"/>
      <c r="N451" s="562"/>
    </row>
    <row r="452" spans="2:14" outlineLevel="1" x14ac:dyDescent="0.15">
      <c r="C452" s="8" t="s">
        <v>1673</v>
      </c>
      <c r="D452" s="26"/>
      <c r="E452" s="26"/>
      <c r="F452" s="26"/>
      <c r="G452" s="815">
        <f ca="1">'Manufacturing Costs'!G364*'Cost Input'!$F$93*G$181/Dashboard!D$110</f>
        <v>1.4869496751859728</v>
      </c>
      <c r="H452" s="815">
        <f ca="1">'Manufacturing Costs'!H364*'Cost Input'!$F$93*H$181/Dashboard!E$110</f>
        <v>1.4869496751859728</v>
      </c>
      <c r="I452" s="815">
        <f ca="1">'Manufacturing Costs'!I364*'Cost Input'!$F$93*I$181/Dashboard!F$110</f>
        <v>1.4869496751859728</v>
      </c>
      <c r="J452" s="815">
        <f ca="1">'Manufacturing Costs'!J364*'Cost Input'!$F$93*J$181/Dashboard!G$110</f>
        <v>1.4869496751859728</v>
      </c>
      <c r="K452" s="815">
        <f ca="1">'Manufacturing Costs'!K364*'Cost Input'!$F$93*K$181/Dashboard!H$110</f>
        <v>1.4869496751859728</v>
      </c>
      <c r="L452" s="815">
        <f ca="1">'Manufacturing Costs'!L364*'Cost Input'!$F$93*L$181/Dashboard!I$110</f>
        <v>1.4869496751859728</v>
      </c>
      <c r="M452" s="815">
        <f ca="1">'Manufacturing Costs'!M364*'Cost Input'!$F$93*M$181/Dashboard!J$110</f>
        <v>1.4869496751859728</v>
      </c>
      <c r="N452" s="562"/>
    </row>
    <row r="453" spans="2:14" outlineLevel="1" x14ac:dyDescent="0.15">
      <c r="C453" s="8" t="s">
        <v>1674</v>
      </c>
      <c r="D453" s="26"/>
      <c r="E453" s="26"/>
      <c r="F453" s="26"/>
      <c r="G453" s="815">
        <f ca="1">'Manufacturing Costs'!G365*1000000*G$182/Dashboard!D$110</f>
        <v>13.727113377934426</v>
      </c>
      <c r="H453" s="815">
        <f ca="1">'Manufacturing Costs'!H365*1000000*H$182/Dashboard!E$110</f>
        <v>13.727113377934426</v>
      </c>
      <c r="I453" s="815">
        <f ca="1">'Manufacturing Costs'!I365*1000000*I$182/Dashboard!F$110</f>
        <v>13.727113377934426</v>
      </c>
      <c r="J453" s="815">
        <f ca="1">'Manufacturing Costs'!J365*1000000*J$182/Dashboard!G$110</f>
        <v>13.727113377934426</v>
      </c>
      <c r="K453" s="815">
        <f ca="1">'Manufacturing Costs'!K365*1000000*K$182/Dashboard!H$110</f>
        <v>13.727113377934426</v>
      </c>
      <c r="L453" s="815">
        <f ca="1">'Manufacturing Costs'!L365*1000000*L$182/Dashboard!I$110</f>
        <v>13.727113377934426</v>
      </c>
      <c r="M453" s="815">
        <f ca="1">'Manufacturing Costs'!M365*1000000*M$182/Dashboard!J$110</f>
        <v>13.727113377934426</v>
      </c>
      <c r="N453" s="562"/>
    </row>
    <row r="454" spans="2:14" outlineLevel="1" x14ac:dyDescent="0.15">
      <c r="C454" s="8" t="s">
        <v>1675</v>
      </c>
      <c r="D454" s="26"/>
      <c r="E454" s="26"/>
      <c r="F454" s="26"/>
      <c r="G454" s="815">
        <f ca="1">'Manufacturing Costs'!G366*'Cost Input'!$F$84*G$183/Dashboard!D$110</f>
        <v>0.3881582067039081</v>
      </c>
      <c r="H454" s="815">
        <f ca="1">'Manufacturing Costs'!H366*'Cost Input'!$F$84*H$183/Dashboard!E$110</f>
        <v>0.3881582067039081</v>
      </c>
      <c r="I454" s="815">
        <f ca="1">'Manufacturing Costs'!I366*'Cost Input'!$F$84*I$183/Dashboard!F$110</f>
        <v>0.3881582067039081</v>
      </c>
      <c r="J454" s="815">
        <f ca="1">'Manufacturing Costs'!J366*'Cost Input'!$F$84*J$183/Dashboard!G$110</f>
        <v>0.3881582067039081</v>
      </c>
      <c r="K454" s="815">
        <f ca="1">'Manufacturing Costs'!K366*'Cost Input'!$F$84*K$183/Dashboard!H$110</f>
        <v>0.3881582067039081</v>
      </c>
      <c r="L454" s="815">
        <f ca="1">'Manufacturing Costs'!L366*'Cost Input'!$F$84*L$183/Dashboard!I$110</f>
        <v>0.3881582067039081</v>
      </c>
      <c r="M454" s="815">
        <f ca="1">'Manufacturing Costs'!M366*'Cost Input'!$F$84*M$183/Dashboard!J$110</f>
        <v>0.3881582067039081</v>
      </c>
      <c r="N454" s="562"/>
    </row>
    <row r="455" spans="2:14" outlineLevel="1" x14ac:dyDescent="0.15">
      <c r="C455" s="8" t="s">
        <v>1536</v>
      </c>
      <c r="D455" s="26"/>
      <c r="E455" s="26"/>
      <c r="F455" s="26"/>
      <c r="G455" s="815">
        <f ca="1">'Manufacturing Costs'!G367*'Cost Input'!$F$81*24*'Cost Input'!$F$94*G$184/Dashboard!D$110</f>
        <v>0.59920929155175051</v>
      </c>
      <c r="H455" s="815">
        <f ca="1">'Manufacturing Costs'!H367*'Cost Input'!$F$81*24*'Cost Input'!$F$94*H$184/Dashboard!E$110</f>
        <v>0.59920929155175051</v>
      </c>
      <c r="I455" s="815">
        <f ca="1">'Manufacturing Costs'!I367*'Cost Input'!$F$81*24*'Cost Input'!$F$94*I$184/Dashboard!F$110</f>
        <v>0.59920929155175051</v>
      </c>
      <c r="J455" s="815">
        <f ca="1">'Manufacturing Costs'!J367*'Cost Input'!$F$81*24*'Cost Input'!$F$94*J$184/Dashboard!G$110</f>
        <v>0.59920929155175051</v>
      </c>
      <c r="K455" s="815">
        <f ca="1">'Manufacturing Costs'!K367*'Cost Input'!$F$81*24*'Cost Input'!$F$94*K$184/Dashboard!H$110</f>
        <v>0.59920929155175051</v>
      </c>
      <c r="L455" s="815">
        <f ca="1">'Manufacturing Costs'!L367*'Cost Input'!$F$81*24*'Cost Input'!$F$94*L$184/Dashboard!I$110</f>
        <v>0.59920929155175051</v>
      </c>
      <c r="M455" s="815">
        <f ca="1">'Manufacturing Costs'!M367*'Cost Input'!$F$81*24*'Cost Input'!$F$94*M$184/Dashboard!J$110</f>
        <v>0.59920929155175051</v>
      </c>
      <c r="N455" s="562"/>
    </row>
    <row r="456" spans="2:14" outlineLevel="1" x14ac:dyDescent="0.15">
      <c r="C456" s="8" t="s">
        <v>1676</v>
      </c>
      <c r="D456" s="26"/>
      <c r="E456" s="26"/>
      <c r="F456" s="26"/>
      <c r="G456" s="815">
        <f ca="1">SUM(G452:G455)</f>
        <v>16.201430551376056</v>
      </c>
      <c r="H456" s="815">
        <f t="shared" ref="H456:M456" ca="1" si="155">SUM(H452:H455)</f>
        <v>16.201430551376056</v>
      </c>
      <c r="I456" s="815">
        <f t="shared" ca="1" si="155"/>
        <v>16.201430551376056</v>
      </c>
      <c r="J456" s="815">
        <f t="shared" ca="1" si="155"/>
        <v>16.201430551376056</v>
      </c>
      <c r="K456" s="815">
        <f t="shared" ca="1" si="155"/>
        <v>16.201430551376056</v>
      </c>
      <c r="L456" s="815">
        <f t="shared" ca="1" si="155"/>
        <v>16.201430551376056</v>
      </c>
      <c r="M456" s="815">
        <f t="shared" ca="1" si="155"/>
        <v>16.201430551376056</v>
      </c>
      <c r="N456" s="562"/>
    </row>
    <row r="457" spans="2:14" outlineLevel="1" x14ac:dyDescent="0.15">
      <c r="C457" s="8"/>
      <c r="D457" s="26"/>
      <c r="E457" s="26"/>
      <c r="F457" s="26"/>
      <c r="G457" s="367"/>
      <c r="H457" s="367"/>
      <c r="I457" s="367"/>
      <c r="J457" s="367"/>
      <c r="K457" s="367"/>
      <c r="L457" s="367"/>
      <c r="M457" s="367"/>
      <c r="N457" s="562"/>
    </row>
    <row r="458" spans="2:14" ht="14" outlineLevel="1" x14ac:dyDescent="0.15">
      <c r="B458" s="507" t="s">
        <v>1218</v>
      </c>
      <c r="C458" s="8"/>
      <c r="D458" s="26"/>
      <c r="E458" s="26"/>
      <c r="F458" s="26"/>
      <c r="G458" s="367"/>
      <c r="H458" s="367"/>
      <c r="I458" s="367"/>
      <c r="J458" s="367"/>
      <c r="K458" s="367"/>
      <c r="L458" s="367"/>
      <c r="M458" s="367"/>
      <c r="N458" s="562"/>
    </row>
    <row r="459" spans="2:14" outlineLevel="1" x14ac:dyDescent="0.15">
      <c r="C459" s="8" t="s">
        <v>1673</v>
      </c>
      <c r="D459" s="26"/>
      <c r="E459" s="26"/>
      <c r="F459" s="26"/>
      <c r="G459" s="815">
        <f>'Manufacturing Costs'!G371*'Cost Input'!$F$93*G$181/Dashboard!D$110</f>
        <v>3.540737219170238</v>
      </c>
      <c r="H459" s="815">
        <f>'Manufacturing Costs'!H371*'Cost Input'!$F$93*H$181/Dashboard!E$110</f>
        <v>3.540737219170238</v>
      </c>
      <c r="I459" s="815">
        <f>'Manufacturing Costs'!I371*'Cost Input'!$F$93*I$181/Dashboard!F$110</f>
        <v>3.540737219170238</v>
      </c>
      <c r="J459" s="815">
        <f>'Manufacturing Costs'!J371*'Cost Input'!$F$93*J$181/Dashboard!G$110</f>
        <v>3.540737219170238</v>
      </c>
      <c r="K459" s="815">
        <f>'Manufacturing Costs'!K371*'Cost Input'!$F$93*K$181/Dashboard!H$110</f>
        <v>3.540737219170238</v>
      </c>
      <c r="L459" s="815">
        <f>'Manufacturing Costs'!L371*'Cost Input'!$F$93*L$181/Dashboard!I$110</f>
        <v>3.540737219170238</v>
      </c>
      <c r="M459" s="815">
        <f>'Manufacturing Costs'!M371*'Cost Input'!$F$93*M$181/Dashboard!J$110</f>
        <v>3.540737219170238</v>
      </c>
      <c r="N459" s="562"/>
    </row>
    <row r="460" spans="2:14" outlineLevel="1" x14ac:dyDescent="0.15">
      <c r="C460" s="8" t="s">
        <v>1674</v>
      </c>
      <c r="D460" s="26"/>
      <c r="E460" s="26"/>
      <c r="F460" s="26"/>
      <c r="G460" s="815">
        <f>'Manufacturing Costs'!G372*1000000*G$182/Dashboard!D$110</f>
        <v>3.6859408588263514</v>
      </c>
      <c r="H460" s="815">
        <f>'Manufacturing Costs'!H372*1000000*H$182/Dashboard!E$110</f>
        <v>3.6859408588263514</v>
      </c>
      <c r="I460" s="815">
        <f>'Manufacturing Costs'!I372*1000000*I$182/Dashboard!F$110</f>
        <v>3.6859408588263514</v>
      </c>
      <c r="J460" s="815">
        <f>'Manufacturing Costs'!J372*1000000*J$182/Dashboard!G$110</f>
        <v>3.6859408588263514</v>
      </c>
      <c r="K460" s="815">
        <f>'Manufacturing Costs'!K372*1000000*K$182/Dashboard!H$110</f>
        <v>3.6859408588263514</v>
      </c>
      <c r="L460" s="815">
        <f>'Manufacturing Costs'!L372*1000000*L$182/Dashboard!I$110</f>
        <v>3.6859408588263514</v>
      </c>
      <c r="M460" s="815">
        <f>'Manufacturing Costs'!M372*1000000*M$182/Dashboard!J$110</f>
        <v>3.6859408588263514</v>
      </c>
      <c r="N460" s="562"/>
    </row>
    <row r="461" spans="2:14" outlineLevel="1" x14ac:dyDescent="0.15">
      <c r="C461" s="8" t="s">
        <v>1675</v>
      </c>
      <c r="D461" s="26"/>
      <c r="E461" s="26"/>
      <c r="F461" s="26"/>
      <c r="G461" s="815">
        <f>'Manufacturing Costs'!G373*'Cost Input'!$F$84*G$183/Dashboard!D$110</f>
        <v>1.1915591095569951</v>
      </c>
      <c r="H461" s="815">
        <f>'Manufacturing Costs'!H373*'Cost Input'!$F$84*H$183/Dashboard!E$110</f>
        <v>1.1915591095569951</v>
      </c>
      <c r="I461" s="815">
        <f>'Manufacturing Costs'!I373*'Cost Input'!$F$84*I$183/Dashboard!F$110</f>
        <v>1.1915591095569951</v>
      </c>
      <c r="J461" s="815">
        <f>'Manufacturing Costs'!J373*'Cost Input'!$F$84*J$183/Dashboard!G$110</f>
        <v>1.1915591095569951</v>
      </c>
      <c r="K461" s="815">
        <f>'Manufacturing Costs'!K373*'Cost Input'!$F$84*K$183/Dashboard!H$110</f>
        <v>1.1915591095569951</v>
      </c>
      <c r="L461" s="815">
        <f>'Manufacturing Costs'!L373*'Cost Input'!$F$84*L$183/Dashboard!I$110</f>
        <v>1.1915591095569951</v>
      </c>
      <c r="M461" s="815">
        <f>'Manufacturing Costs'!M373*'Cost Input'!$F$84*M$183/Dashboard!J$110</f>
        <v>1.1915591095569951</v>
      </c>
      <c r="N461" s="562"/>
    </row>
    <row r="462" spans="2:14" outlineLevel="1" x14ac:dyDescent="0.15">
      <c r="C462" s="8" t="s">
        <v>1536</v>
      </c>
      <c r="D462" s="26"/>
      <c r="E462" s="26"/>
      <c r="F462" s="26"/>
      <c r="G462" s="815">
        <f>'Manufacturing Costs'!G374*'Cost Input'!$F$81*24*'Cost Input'!$F$94*G$184/Dashboard!D$110</f>
        <v>2.2326287580942896</v>
      </c>
      <c r="H462" s="815">
        <f>'Manufacturing Costs'!H374*'Cost Input'!$F$81*24*'Cost Input'!$F$94*H$184/Dashboard!E$110</f>
        <v>2.2326287580942896</v>
      </c>
      <c r="I462" s="815">
        <f>'Manufacturing Costs'!I374*'Cost Input'!$F$81*24*'Cost Input'!$F$94*I$184/Dashboard!F$110</f>
        <v>2.2326287580942896</v>
      </c>
      <c r="J462" s="815">
        <f>'Manufacturing Costs'!J374*'Cost Input'!$F$81*24*'Cost Input'!$F$94*J$184/Dashboard!G$110</f>
        <v>2.2326287580942896</v>
      </c>
      <c r="K462" s="815">
        <f>'Manufacturing Costs'!K374*'Cost Input'!$F$81*24*'Cost Input'!$F$94*K$184/Dashboard!H$110</f>
        <v>2.2326287580942896</v>
      </c>
      <c r="L462" s="815">
        <f>'Manufacturing Costs'!L374*'Cost Input'!$F$81*24*'Cost Input'!$F$94*L$184/Dashboard!I$110</f>
        <v>2.2326287580942896</v>
      </c>
      <c r="M462" s="815">
        <f>'Manufacturing Costs'!M374*'Cost Input'!$F$81*24*'Cost Input'!$F$94*M$184/Dashboard!J$110</f>
        <v>2.2326287580942896</v>
      </c>
      <c r="N462" s="562"/>
    </row>
    <row r="463" spans="2:14" outlineLevel="1" x14ac:dyDescent="0.15">
      <c r="C463" s="8" t="s">
        <v>1676</v>
      </c>
      <c r="D463" s="26"/>
      <c r="E463" s="26"/>
      <c r="F463" s="26"/>
      <c r="G463" s="815">
        <f>SUM(G459:G462)</f>
        <v>10.650865945647874</v>
      </c>
      <c r="H463" s="815">
        <f t="shared" ref="H463:M463" si="156">SUM(H459:H462)</f>
        <v>10.650865945647874</v>
      </c>
      <c r="I463" s="815">
        <f t="shared" si="156"/>
        <v>10.650865945647874</v>
      </c>
      <c r="J463" s="815">
        <f t="shared" si="156"/>
        <v>10.650865945647874</v>
      </c>
      <c r="K463" s="815">
        <f t="shared" si="156"/>
        <v>10.650865945647874</v>
      </c>
      <c r="L463" s="815">
        <f t="shared" si="156"/>
        <v>10.650865945647874</v>
      </c>
      <c r="M463" s="815">
        <f t="shared" si="156"/>
        <v>10.650865945647874</v>
      </c>
      <c r="N463" s="562"/>
    </row>
    <row r="464" spans="2:14" outlineLevel="1" x14ac:dyDescent="0.15">
      <c r="C464" s="8"/>
      <c r="D464" s="26"/>
      <c r="E464" s="26"/>
      <c r="F464" s="26"/>
      <c r="G464" s="367"/>
      <c r="H464" s="367"/>
      <c r="I464" s="367"/>
      <c r="J464" s="367"/>
      <c r="K464" s="367"/>
      <c r="L464" s="367"/>
      <c r="M464" s="367"/>
      <c r="N464" s="562"/>
    </row>
    <row r="465" spans="2:14" ht="14" outlineLevel="1" x14ac:dyDescent="0.15">
      <c r="B465" s="507" t="s">
        <v>1219</v>
      </c>
      <c r="C465" s="8"/>
      <c r="D465" s="26"/>
      <c r="E465" s="26"/>
      <c r="F465" s="26"/>
      <c r="G465" s="367"/>
      <c r="H465" s="367"/>
      <c r="I465" s="367"/>
      <c r="J465" s="367"/>
      <c r="K465" s="367"/>
      <c r="L465" s="367"/>
      <c r="M465" s="367"/>
      <c r="N465" s="562"/>
    </row>
    <row r="466" spans="2:14" outlineLevel="1" x14ac:dyDescent="0.15">
      <c r="C466" s="8" t="s">
        <v>1673</v>
      </c>
      <c r="D466" s="26"/>
      <c r="E466" s="26"/>
      <c r="F466" s="26"/>
      <c r="G466" s="815">
        <f ca="1">'Manufacturing Costs'!G378*'Cost Input'!$F$93*G$181/Dashboard!D$110*(1-Lists!$C$154)*(1-Lists!$D$154)</f>
        <v>4.4795520000010995</v>
      </c>
      <c r="H466" s="815">
        <f ca="1">'Manufacturing Costs'!H378*'Cost Input'!$F$93*H$181/Dashboard!E$110*(1-Lists!$C$154)*(1-Lists!$D$154)</f>
        <v>4.4795520000010995</v>
      </c>
      <c r="I466" s="815">
        <f ca="1">'Manufacturing Costs'!I378*'Cost Input'!$F$93*I$181/Dashboard!F$110*(1-Lists!$C$154)*(1-Lists!$D$154)</f>
        <v>4.4795520000010995</v>
      </c>
      <c r="J466" s="815">
        <f ca="1">'Manufacturing Costs'!J378*'Cost Input'!$F$93*J$181/Dashboard!G$110*(1-Lists!$C$154)*(1-Lists!$D$154)</f>
        <v>4.4795520000010995</v>
      </c>
      <c r="K466" s="815">
        <f ca="1">'Manufacturing Costs'!K378*'Cost Input'!$F$93*K$181/Dashboard!H$110*(1-Lists!$C$154)*(1-Lists!$D$154)</f>
        <v>4.4795520000010995</v>
      </c>
      <c r="L466" s="815">
        <f ca="1">'Manufacturing Costs'!L378*'Cost Input'!$F$93*L$181/Dashboard!I$110*(1-Lists!$C$154)*(1-Lists!$D$154)</f>
        <v>4.4795520000010995</v>
      </c>
      <c r="M466" s="815">
        <f ca="1">'Manufacturing Costs'!M378*'Cost Input'!$F$93*M$181/Dashboard!J$110*(1-Lists!$C$154)*(1-Lists!$D$154)</f>
        <v>4.4795520000010995</v>
      </c>
      <c r="N466" s="562"/>
    </row>
    <row r="467" spans="2:14" outlineLevel="1" x14ac:dyDescent="0.15">
      <c r="C467" s="8" t="s">
        <v>1674</v>
      </c>
      <c r="D467" s="26"/>
      <c r="E467" s="26"/>
      <c r="F467" s="26"/>
      <c r="G467" s="815">
        <f ca="1">'Manufacturing Costs'!G379*1000000*G$182/Dashboard!D$110*(1-Lists!$C$154)*(1-Lists!$D$154)</f>
        <v>6.3542435269767532</v>
      </c>
      <c r="H467" s="815">
        <f ca="1">'Manufacturing Costs'!H379*1000000*H$182/Dashboard!E$110*(1-Lists!$C$154)*(1-Lists!$D$154)</f>
        <v>6.3542435269767532</v>
      </c>
      <c r="I467" s="815">
        <f ca="1">'Manufacturing Costs'!I379*1000000*I$182/Dashboard!F$110*(1-Lists!$C$154)*(1-Lists!$D$154)</f>
        <v>6.3542435269767532</v>
      </c>
      <c r="J467" s="815">
        <f ca="1">'Manufacturing Costs'!J379*1000000*J$182/Dashboard!G$110*(1-Lists!$C$154)*(1-Lists!$D$154)</f>
        <v>6.3542435269767532</v>
      </c>
      <c r="K467" s="815">
        <f ca="1">'Manufacturing Costs'!K379*1000000*K$182/Dashboard!H$110*(1-Lists!$C$154)*(1-Lists!$D$154)</f>
        <v>6.3542435269767532</v>
      </c>
      <c r="L467" s="815">
        <f ca="1">'Manufacturing Costs'!L379*1000000*L$182/Dashboard!I$110*(1-Lists!$C$154)*(1-Lists!$D$154)</f>
        <v>6.3542435269767532</v>
      </c>
      <c r="M467" s="815">
        <f ca="1">'Manufacturing Costs'!M379*1000000*M$182/Dashboard!J$110*(1-Lists!$C$154)*(1-Lists!$D$154)</f>
        <v>6.3542435269767532</v>
      </c>
      <c r="N467" s="562"/>
    </row>
    <row r="468" spans="2:14" outlineLevel="1" x14ac:dyDescent="0.15">
      <c r="C468" s="8" t="s">
        <v>1675</v>
      </c>
      <c r="D468" s="26"/>
      <c r="E468" s="26"/>
      <c r="F468" s="26"/>
      <c r="G468" s="815">
        <f ca="1">'Manufacturing Costs'!G380*'Cost Input'!$F$84*G$183/Dashboard!D$110*(1-Lists!$C$154)*(1-Lists!$D$154)</f>
        <v>0.47040536400015653</v>
      </c>
      <c r="H468" s="815">
        <f ca="1">'Manufacturing Costs'!H380*'Cost Input'!$F$84*H$183/Dashboard!E$110*(1-Lists!$C$154)*(1-Lists!$D$154)</f>
        <v>0.47040536400015653</v>
      </c>
      <c r="I468" s="815">
        <f ca="1">'Manufacturing Costs'!I380*'Cost Input'!$F$84*I$183/Dashboard!F$110*(1-Lists!$C$154)*(1-Lists!$D$154)</f>
        <v>0.47040536400015653</v>
      </c>
      <c r="J468" s="815">
        <f ca="1">'Manufacturing Costs'!J380*'Cost Input'!$F$84*J$183/Dashboard!G$110*(1-Lists!$C$154)*(1-Lists!$D$154)</f>
        <v>0.47040536400015653</v>
      </c>
      <c r="K468" s="815">
        <f ca="1">'Manufacturing Costs'!K380*'Cost Input'!$F$84*K$183/Dashboard!H$110*(1-Lists!$C$154)*(1-Lists!$D$154)</f>
        <v>0.47040536400015653</v>
      </c>
      <c r="L468" s="815">
        <f ca="1">'Manufacturing Costs'!L380*'Cost Input'!$F$84*L$183/Dashboard!I$110*(1-Lists!$C$154)*(1-Lists!$D$154)</f>
        <v>0.47040536400015653</v>
      </c>
      <c r="M468" s="815">
        <f ca="1">'Manufacturing Costs'!M380*'Cost Input'!$F$84*M$183/Dashboard!J$110*(1-Lists!$C$154)*(1-Lists!$D$154)</f>
        <v>0.47040536400015653</v>
      </c>
      <c r="N468" s="562"/>
    </row>
    <row r="469" spans="2:14" outlineLevel="1" x14ac:dyDescent="0.15">
      <c r="C469" s="8" t="s">
        <v>1536</v>
      </c>
      <c r="D469" s="26"/>
      <c r="E469" s="26"/>
      <c r="F469" s="26"/>
      <c r="G469" s="815">
        <f ca="1">'Manufacturing Costs'!G381*'Cost Input'!$F$81*24*'Cost Input'!$F$94*G$184/Dashboard!D$110*(1-Lists!$C$154)</f>
        <v>1.3162659840004611E-2</v>
      </c>
      <c r="H469" s="815">
        <f ca="1">'Manufacturing Costs'!H381*'Cost Input'!$F$81*24*'Cost Input'!$F$94*H$184/Dashboard!E$110*(1-Lists!$C$154)</f>
        <v>1.3162659840004611E-2</v>
      </c>
      <c r="I469" s="815">
        <f ca="1">'Manufacturing Costs'!I381*'Cost Input'!$F$81*24*'Cost Input'!$F$94*I$184/Dashboard!F$110*(1-Lists!$C$154)</f>
        <v>1.3162659840004611E-2</v>
      </c>
      <c r="J469" s="815">
        <f ca="1">'Manufacturing Costs'!J381*'Cost Input'!$F$81*24*'Cost Input'!$F$94*J$184/Dashboard!G$110*(1-Lists!$C$154)</f>
        <v>1.3162659840004611E-2</v>
      </c>
      <c r="K469" s="815">
        <f ca="1">'Manufacturing Costs'!K381*'Cost Input'!$F$81*24*'Cost Input'!$F$94*K$184/Dashboard!H$110*(1-Lists!$C$154)</f>
        <v>1.3162659840004611E-2</v>
      </c>
      <c r="L469" s="815">
        <f ca="1">'Manufacturing Costs'!L381*'Cost Input'!$F$81*24*'Cost Input'!$F$94*L$184/Dashboard!I$110*(1-Lists!$C$154)</f>
        <v>1.3162659840004611E-2</v>
      </c>
      <c r="M469" s="815">
        <f ca="1">'Manufacturing Costs'!M381*'Cost Input'!$F$81*24*'Cost Input'!$F$94*M$184/Dashboard!J$110*(1-Lists!$C$154)</f>
        <v>1.3162659840004611E-2</v>
      </c>
      <c r="N469" s="562"/>
    </row>
    <row r="470" spans="2:14" outlineLevel="1" x14ac:dyDescent="0.15">
      <c r="C470" s="8" t="s">
        <v>1676</v>
      </c>
      <c r="D470" s="26"/>
      <c r="E470" s="26"/>
      <c r="F470" s="26"/>
      <c r="G470" s="815">
        <f ca="1">SUM(G466:G469)</f>
        <v>11.317363550818012</v>
      </c>
      <c r="H470" s="815">
        <f t="shared" ref="H470:M470" ca="1" si="157">SUM(H466:H469)</f>
        <v>11.317363550818012</v>
      </c>
      <c r="I470" s="815">
        <f t="shared" ca="1" si="157"/>
        <v>11.317363550818012</v>
      </c>
      <c r="J470" s="815">
        <f t="shared" ca="1" si="157"/>
        <v>11.317363550818012</v>
      </c>
      <c r="K470" s="815">
        <f t="shared" ca="1" si="157"/>
        <v>11.317363550818012</v>
      </c>
      <c r="L470" s="815">
        <f t="shared" ca="1" si="157"/>
        <v>11.317363550818012</v>
      </c>
      <c r="M470" s="815">
        <f t="shared" ca="1" si="157"/>
        <v>11.317363550818012</v>
      </c>
      <c r="N470" s="562"/>
    </row>
    <row r="471" spans="2:14" outlineLevel="1" x14ac:dyDescent="0.15">
      <c r="C471" s="8"/>
      <c r="D471" s="26"/>
      <c r="E471" s="26"/>
      <c r="F471" s="26"/>
      <c r="G471" s="367"/>
      <c r="H471" s="367"/>
      <c r="I471" s="367"/>
      <c r="J471" s="367"/>
      <c r="K471" s="367"/>
      <c r="L471" s="367"/>
      <c r="M471" s="367"/>
      <c r="N471" s="562"/>
    </row>
    <row r="472" spans="2:14" ht="14" outlineLevel="1" x14ac:dyDescent="0.15">
      <c r="B472" s="507" t="s">
        <v>1220</v>
      </c>
      <c r="C472" s="8"/>
      <c r="D472" s="26"/>
      <c r="E472" s="26"/>
      <c r="F472" s="26"/>
      <c r="G472" s="367"/>
      <c r="H472" s="367"/>
      <c r="I472" s="367"/>
      <c r="J472" s="367"/>
      <c r="K472" s="367"/>
      <c r="L472" s="367"/>
      <c r="M472" s="367"/>
      <c r="N472" s="562"/>
    </row>
    <row r="473" spans="2:14" outlineLevel="1" x14ac:dyDescent="0.15">
      <c r="C473" s="225" t="s">
        <v>1221</v>
      </c>
      <c r="D473" s="26"/>
      <c r="E473" s="26"/>
      <c r="F473" s="26"/>
      <c r="G473" s="367"/>
      <c r="H473" s="367"/>
      <c r="I473" s="367"/>
      <c r="J473" s="367"/>
      <c r="K473" s="367"/>
      <c r="L473" s="367"/>
      <c r="M473" s="367"/>
      <c r="N473" s="562"/>
    </row>
    <row r="474" spans="2:14" outlineLevel="1" x14ac:dyDescent="0.15">
      <c r="C474" s="8" t="s">
        <v>1673</v>
      </c>
      <c r="D474" s="26"/>
      <c r="E474" s="26"/>
      <c r="F474" s="26"/>
      <c r="G474" s="815">
        <f ca="1">'Manufacturing Costs'!G386*'Cost Input'!$F$93*G$181/Dashboard!D$110</f>
        <v>0</v>
      </c>
      <c r="H474" s="815">
        <f ca="1">'Manufacturing Costs'!H386*'Cost Input'!$F$93*H$181/Dashboard!E$110</f>
        <v>0</v>
      </c>
      <c r="I474" s="815">
        <f ca="1">'Manufacturing Costs'!I386*'Cost Input'!$F$93*I$181/Dashboard!F$110</f>
        <v>0</v>
      </c>
      <c r="J474" s="815">
        <f ca="1">'Manufacturing Costs'!J386*'Cost Input'!$F$93*J$181/Dashboard!G$110</f>
        <v>0</v>
      </c>
      <c r="K474" s="815">
        <f ca="1">'Manufacturing Costs'!K386*'Cost Input'!$F$93*K$181/Dashboard!H$110</f>
        <v>0</v>
      </c>
      <c r="L474" s="815">
        <f ca="1">'Manufacturing Costs'!L386*'Cost Input'!$F$93*L$181/Dashboard!I$110</f>
        <v>0</v>
      </c>
      <c r="M474" s="815">
        <f ca="1">'Manufacturing Costs'!M386*'Cost Input'!$F$93*M$181/Dashboard!J$110</f>
        <v>0</v>
      </c>
      <c r="N474" s="562"/>
    </row>
    <row r="475" spans="2:14" outlineLevel="1" x14ac:dyDescent="0.15">
      <c r="C475" s="8" t="s">
        <v>1674</v>
      </c>
      <c r="D475" s="26"/>
      <c r="E475" s="26"/>
      <c r="F475" s="26"/>
      <c r="G475" s="815">
        <f ca="1">'Manufacturing Costs'!G387*1000000*G$182/Dashboard!D$110</f>
        <v>204.1222740014214</v>
      </c>
      <c r="H475" s="815">
        <f ca="1">'Manufacturing Costs'!H387*1000000*H$182/Dashboard!E$110</f>
        <v>204.1222740014214</v>
      </c>
      <c r="I475" s="815">
        <f ca="1">'Manufacturing Costs'!I387*1000000*I$182/Dashboard!F$110</f>
        <v>204.1222740014214</v>
      </c>
      <c r="J475" s="815">
        <f ca="1">'Manufacturing Costs'!J387*1000000*J$182/Dashboard!G$110</f>
        <v>204.1222740014214</v>
      </c>
      <c r="K475" s="815">
        <f ca="1">'Manufacturing Costs'!K387*1000000*K$182/Dashboard!H$110</f>
        <v>204.1222740014214</v>
      </c>
      <c r="L475" s="815">
        <f ca="1">'Manufacturing Costs'!L387*1000000*L$182/Dashboard!I$110</f>
        <v>204.1222740014214</v>
      </c>
      <c r="M475" s="815">
        <f ca="1">'Manufacturing Costs'!M387*1000000*M$182/Dashboard!J$110</f>
        <v>204.1222740014214</v>
      </c>
      <c r="N475" s="562"/>
    </row>
    <row r="476" spans="2:14" outlineLevel="1" x14ac:dyDescent="0.15">
      <c r="C476" s="8" t="s">
        <v>1675</v>
      </c>
      <c r="D476" s="26"/>
      <c r="E476" s="26"/>
      <c r="F476" s="26"/>
      <c r="G476" s="815">
        <f ca="1">'Manufacturing Costs'!G388*'Cost Input'!$F$84*G$183/Dashboard!D$110</f>
        <v>0</v>
      </c>
      <c r="H476" s="815">
        <f ca="1">'Manufacturing Costs'!H388*'Cost Input'!$F$84*H$183/Dashboard!E$110</f>
        <v>0</v>
      </c>
      <c r="I476" s="815">
        <f ca="1">'Manufacturing Costs'!I388*'Cost Input'!$F$84*I$183/Dashboard!F$110</f>
        <v>0</v>
      </c>
      <c r="J476" s="815">
        <f ca="1">'Manufacturing Costs'!J388*'Cost Input'!$F$84*J$183/Dashboard!G$110</f>
        <v>0</v>
      </c>
      <c r="K476" s="815">
        <f ca="1">'Manufacturing Costs'!K388*'Cost Input'!$F$84*K$183/Dashboard!H$110</f>
        <v>0</v>
      </c>
      <c r="L476" s="815">
        <f ca="1">'Manufacturing Costs'!L388*'Cost Input'!$F$84*L$183/Dashboard!I$110</f>
        <v>0</v>
      </c>
      <c r="M476" s="815">
        <f ca="1">'Manufacturing Costs'!M388*'Cost Input'!$F$84*M$183/Dashboard!J$110</f>
        <v>0</v>
      </c>
      <c r="N476" s="562"/>
    </row>
    <row r="477" spans="2:14" ht="14" outlineLevel="1" x14ac:dyDescent="0.15">
      <c r="B477" s="507"/>
      <c r="C477" s="8" t="s">
        <v>1536</v>
      </c>
      <c r="D477" s="26"/>
      <c r="E477" s="26"/>
      <c r="F477" s="26"/>
      <c r="G477" s="815">
        <f ca="1">'Manufacturing Costs'!G389*'Cost Input'!$F$81*24*'Cost Input'!$F$94*G$184/Dashboard!D$110</f>
        <v>18.508972751052756</v>
      </c>
      <c r="H477" s="815">
        <f ca="1">'Manufacturing Costs'!H389*'Cost Input'!$F$81*24*'Cost Input'!$F$94*H$184/Dashboard!E$110</f>
        <v>18.508972751052756</v>
      </c>
      <c r="I477" s="815">
        <f ca="1">'Manufacturing Costs'!I389*'Cost Input'!$F$81*24*'Cost Input'!$F$94*I$184/Dashboard!F$110</f>
        <v>18.508972751052756</v>
      </c>
      <c r="J477" s="815">
        <f ca="1">'Manufacturing Costs'!J389*'Cost Input'!$F$81*24*'Cost Input'!$F$94*J$184/Dashboard!G$110</f>
        <v>18.508972751052756</v>
      </c>
      <c r="K477" s="815">
        <f ca="1">'Manufacturing Costs'!K389*'Cost Input'!$F$81*24*'Cost Input'!$F$94*K$184/Dashboard!H$110</f>
        <v>18.508972751052756</v>
      </c>
      <c r="L477" s="815">
        <f ca="1">'Manufacturing Costs'!L389*'Cost Input'!$F$81*24*'Cost Input'!$F$94*L$184/Dashboard!I$110</f>
        <v>18.508972751052756</v>
      </c>
      <c r="M477" s="815">
        <f ca="1">'Manufacturing Costs'!M389*'Cost Input'!$F$81*24*'Cost Input'!$F$94*M$184/Dashboard!J$110</f>
        <v>18.508972751052756</v>
      </c>
      <c r="N477" s="562"/>
    </row>
    <row r="478" spans="2:14" ht="14" outlineLevel="1" x14ac:dyDescent="0.15">
      <c r="B478" s="507"/>
      <c r="C478" s="8" t="s">
        <v>1676</v>
      </c>
      <c r="D478" s="26"/>
      <c r="E478" s="26"/>
      <c r="F478" s="26"/>
      <c r="G478" s="815">
        <f ca="1">SUM(G474:G477)</f>
        <v>222.63124675247417</v>
      </c>
      <c r="H478" s="815">
        <f t="shared" ref="H478:M478" ca="1" si="158">SUM(H474:H477)</f>
        <v>222.63124675247417</v>
      </c>
      <c r="I478" s="815">
        <f t="shared" ca="1" si="158"/>
        <v>222.63124675247417</v>
      </c>
      <c r="J478" s="815">
        <f t="shared" ca="1" si="158"/>
        <v>222.63124675247417</v>
      </c>
      <c r="K478" s="815">
        <f t="shared" ca="1" si="158"/>
        <v>222.63124675247417</v>
      </c>
      <c r="L478" s="815">
        <f t="shared" ca="1" si="158"/>
        <v>222.63124675247417</v>
      </c>
      <c r="M478" s="815">
        <f t="shared" ca="1" si="158"/>
        <v>222.63124675247417</v>
      </c>
      <c r="N478" s="562"/>
    </row>
    <row r="479" spans="2:14" ht="14" outlineLevel="1" x14ac:dyDescent="0.15">
      <c r="B479" s="507"/>
      <c r="C479" s="8"/>
      <c r="D479" s="26"/>
      <c r="E479" s="26"/>
      <c r="F479" s="26"/>
      <c r="G479" s="367"/>
      <c r="H479" s="367"/>
      <c r="I479" s="367"/>
      <c r="J479" s="367"/>
      <c r="K479" s="367"/>
      <c r="L479" s="367"/>
      <c r="M479" s="367"/>
      <c r="N479" s="562"/>
    </row>
    <row r="480" spans="2:14" ht="14" outlineLevel="1" x14ac:dyDescent="0.15">
      <c r="B480" s="507"/>
      <c r="C480" s="225" t="s">
        <v>1223</v>
      </c>
      <c r="D480" s="26"/>
      <c r="E480" s="26"/>
      <c r="F480" s="26"/>
      <c r="G480" s="367"/>
      <c r="H480" s="367"/>
      <c r="I480" s="367"/>
      <c r="J480" s="367"/>
      <c r="K480" s="367"/>
      <c r="L480" s="367"/>
      <c r="M480" s="367"/>
      <c r="N480" s="562"/>
    </row>
    <row r="481" spans="2:14" ht="14" outlineLevel="1" x14ac:dyDescent="0.15">
      <c r="B481" s="507"/>
      <c r="C481" s="8" t="s">
        <v>1673</v>
      </c>
      <c r="D481" s="26"/>
      <c r="E481" s="26"/>
      <c r="F481" s="26"/>
      <c r="G481" s="815">
        <f ca="1">'Manufacturing Costs'!G393*'Cost Input'!$F$93*G$181/Dashboard!D$110</f>
        <v>0</v>
      </c>
      <c r="H481" s="815">
        <f ca="1">'Manufacturing Costs'!H393*'Cost Input'!$F$93*H$181/Dashboard!E$110</f>
        <v>0</v>
      </c>
      <c r="I481" s="815">
        <f ca="1">'Manufacturing Costs'!I393*'Cost Input'!$F$93*I$181/Dashboard!F$110</f>
        <v>0</v>
      </c>
      <c r="J481" s="815">
        <f ca="1">'Manufacturing Costs'!J393*'Cost Input'!$F$93*J$181/Dashboard!G$110</f>
        <v>0</v>
      </c>
      <c r="K481" s="815">
        <f ca="1">'Manufacturing Costs'!K393*'Cost Input'!$F$93*K$181/Dashboard!H$110</f>
        <v>0</v>
      </c>
      <c r="L481" s="815">
        <f ca="1">'Manufacturing Costs'!L393*'Cost Input'!$F$93*L$181/Dashboard!I$110</f>
        <v>0</v>
      </c>
      <c r="M481" s="815">
        <f ca="1">'Manufacturing Costs'!M393*'Cost Input'!$F$93*M$181/Dashboard!J$110</f>
        <v>0</v>
      </c>
      <c r="N481" s="562"/>
    </row>
    <row r="482" spans="2:14" ht="14" outlineLevel="1" x14ac:dyDescent="0.15">
      <c r="B482" s="507"/>
      <c r="C482" s="8" t="s">
        <v>1674</v>
      </c>
      <c r="D482" s="26"/>
      <c r="E482" s="26"/>
      <c r="F482" s="26"/>
      <c r="G482" s="815">
        <f ca="1">'Manufacturing Costs'!G394*1000000*G$182/Dashboard!D$110</f>
        <v>238.44456270619582</v>
      </c>
      <c r="H482" s="815">
        <f ca="1">'Manufacturing Costs'!H394*1000000*H$182/Dashboard!E$110</f>
        <v>238.44456270619582</v>
      </c>
      <c r="I482" s="815">
        <f ca="1">'Manufacturing Costs'!I394*1000000*I$182/Dashboard!F$110</f>
        <v>238.44456270619582</v>
      </c>
      <c r="J482" s="815">
        <f ca="1">'Manufacturing Costs'!J394*1000000*J$182/Dashboard!G$110</f>
        <v>238.44456270619582</v>
      </c>
      <c r="K482" s="815">
        <f ca="1">'Manufacturing Costs'!K394*1000000*K$182/Dashboard!H$110</f>
        <v>238.44456270619582</v>
      </c>
      <c r="L482" s="815">
        <f ca="1">'Manufacturing Costs'!L394*1000000*L$182/Dashboard!I$110</f>
        <v>238.44456270619582</v>
      </c>
      <c r="M482" s="815">
        <f ca="1">'Manufacturing Costs'!M394*1000000*M$182/Dashboard!J$110</f>
        <v>238.44456270619582</v>
      </c>
      <c r="N482" s="562"/>
    </row>
    <row r="483" spans="2:14" ht="14" outlineLevel="1" x14ac:dyDescent="0.15">
      <c r="B483" s="507"/>
      <c r="C483" s="8" t="s">
        <v>1675</v>
      </c>
      <c r="D483" s="26"/>
      <c r="E483" s="26"/>
      <c r="F483" s="26"/>
      <c r="G483" s="815">
        <f ca="1">'Manufacturing Costs'!G395*'Cost Input'!$F$84*G$183/Dashboard!D$110</f>
        <v>0</v>
      </c>
      <c r="H483" s="815">
        <f ca="1">'Manufacturing Costs'!H395*'Cost Input'!$F$84*H$183/Dashboard!E$110</f>
        <v>0</v>
      </c>
      <c r="I483" s="815">
        <f ca="1">'Manufacturing Costs'!I395*'Cost Input'!$F$84*I$183/Dashboard!F$110</f>
        <v>0</v>
      </c>
      <c r="J483" s="815">
        <f ca="1">'Manufacturing Costs'!J395*'Cost Input'!$F$84*J$183/Dashboard!G$110</f>
        <v>0</v>
      </c>
      <c r="K483" s="815">
        <f ca="1">'Manufacturing Costs'!K395*'Cost Input'!$F$84*K$183/Dashboard!H$110</f>
        <v>0</v>
      </c>
      <c r="L483" s="815">
        <f ca="1">'Manufacturing Costs'!L395*'Cost Input'!$F$84*L$183/Dashboard!I$110</f>
        <v>0</v>
      </c>
      <c r="M483" s="815">
        <f ca="1">'Manufacturing Costs'!M395*'Cost Input'!$F$84*M$183/Dashboard!J$110</f>
        <v>0</v>
      </c>
      <c r="N483" s="562"/>
    </row>
    <row r="484" spans="2:14" ht="14" outlineLevel="1" x14ac:dyDescent="0.15">
      <c r="B484" s="507"/>
      <c r="C484" s="8" t="s">
        <v>1536</v>
      </c>
      <c r="D484" s="26"/>
      <c r="E484" s="26"/>
      <c r="F484" s="26"/>
      <c r="G484" s="815">
        <f ca="1">'Manufacturing Costs'!G396*'Cost Input'!$F$81*24*'Cost Input'!$F$94*G$184/Dashboard!D$110</f>
        <v>19.098706773825807</v>
      </c>
      <c r="H484" s="815">
        <f ca="1">'Manufacturing Costs'!H396*'Cost Input'!$F$81*24*'Cost Input'!$F$94*H$184/Dashboard!E$110</f>
        <v>19.098706773825807</v>
      </c>
      <c r="I484" s="815">
        <f ca="1">'Manufacturing Costs'!I396*'Cost Input'!$F$81*24*'Cost Input'!$F$94*I$184/Dashboard!F$110</f>
        <v>19.098706773825807</v>
      </c>
      <c r="J484" s="815">
        <f ca="1">'Manufacturing Costs'!J396*'Cost Input'!$F$81*24*'Cost Input'!$F$94*J$184/Dashboard!G$110</f>
        <v>19.098706773825807</v>
      </c>
      <c r="K484" s="815">
        <f ca="1">'Manufacturing Costs'!K396*'Cost Input'!$F$81*24*'Cost Input'!$F$94*K$184/Dashboard!H$110</f>
        <v>19.098706773825807</v>
      </c>
      <c r="L484" s="815">
        <f ca="1">'Manufacturing Costs'!L396*'Cost Input'!$F$81*24*'Cost Input'!$F$94*L$184/Dashboard!I$110</f>
        <v>19.098706773825807</v>
      </c>
      <c r="M484" s="815">
        <f ca="1">'Manufacturing Costs'!M396*'Cost Input'!$F$81*24*'Cost Input'!$F$94*M$184/Dashboard!J$110</f>
        <v>19.098706773825807</v>
      </c>
      <c r="N484" s="562"/>
    </row>
    <row r="485" spans="2:14" ht="14" outlineLevel="1" x14ac:dyDescent="0.15">
      <c r="B485" s="507"/>
      <c r="C485" s="8" t="s">
        <v>1676</v>
      </c>
      <c r="D485" s="26"/>
      <c r="E485" s="26"/>
      <c r="F485" s="26"/>
      <c r="G485" s="815">
        <f ca="1">SUM(G481:G484)</f>
        <v>257.54326948002165</v>
      </c>
      <c r="H485" s="815">
        <f t="shared" ref="H485:M485" ca="1" si="159">SUM(H481:H484)</f>
        <v>257.54326948002165</v>
      </c>
      <c r="I485" s="815">
        <f t="shared" ca="1" si="159"/>
        <v>257.54326948002165</v>
      </c>
      <c r="J485" s="815">
        <f t="shared" ca="1" si="159"/>
        <v>257.54326948002165</v>
      </c>
      <c r="K485" s="815">
        <f t="shared" ca="1" si="159"/>
        <v>257.54326948002165</v>
      </c>
      <c r="L485" s="815">
        <f t="shared" ca="1" si="159"/>
        <v>257.54326948002165</v>
      </c>
      <c r="M485" s="815">
        <f t="shared" ca="1" si="159"/>
        <v>257.54326948002165</v>
      </c>
      <c r="N485" s="562"/>
    </row>
    <row r="486" spans="2:14" ht="14" outlineLevel="1" x14ac:dyDescent="0.15">
      <c r="B486" s="507"/>
      <c r="C486" s="8"/>
      <c r="D486" s="26"/>
      <c r="E486" s="26"/>
      <c r="F486" s="26"/>
      <c r="G486" s="367"/>
      <c r="H486" s="367"/>
      <c r="I486" s="367"/>
      <c r="J486" s="367"/>
      <c r="K486" s="367"/>
      <c r="L486" s="367"/>
      <c r="M486" s="367"/>
      <c r="N486" s="562"/>
    </row>
    <row r="487" spans="2:14" ht="14" outlineLevel="1" x14ac:dyDescent="0.15">
      <c r="B487" s="507"/>
      <c r="C487" s="225" t="s">
        <v>1225</v>
      </c>
      <c r="D487" s="26"/>
      <c r="E487" s="26"/>
      <c r="F487" s="26"/>
      <c r="G487" s="367"/>
      <c r="H487" s="367"/>
      <c r="I487" s="367"/>
      <c r="J487" s="367"/>
      <c r="K487" s="367"/>
      <c r="L487" s="367"/>
      <c r="M487" s="367"/>
      <c r="N487" s="562"/>
    </row>
    <row r="488" spans="2:14" ht="14" outlineLevel="1" x14ac:dyDescent="0.15">
      <c r="B488" s="507"/>
      <c r="C488" s="8" t="s">
        <v>1673</v>
      </c>
      <c r="D488" s="26"/>
      <c r="E488" s="26"/>
      <c r="F488" s="26"/>
      <c r="G488" s="815">
        <f ca="1">'Manufacturing Costs'!G400*'Cost Input'!$F$93*G$181/Dashboard!D$110</f>
        <v>0</v>
      </c>
      <c r="H488" s="815">
        <f ca="1">'Manufacturing Costs'!H400*'Cost Input'!$F$93*H$181/Dashboard!E$110</f>
        <v>0</v>
      </c>
      <c r="I488" s="815">
        <f ca="1">'Manufacturing Costs'!I400*'Cost Input'!$F$93*I$181/Dashboard!F$110</f>
        <v>0</v>
      </c>
      <c r="J488" s="815">
        <f ca="1">'Manufacturing Costs'!J400*'Cost Input'!$F$93*J$181/Dashboard!G$110</f>
        <v>0</v>
      </c>
      <c r="K488" s="815">
        <f ca="1">'Manufacturing Costs'!K400*'Cost Input'!$F$93*K$181/Dashboard!H$110</f>
        <v>0</v>
      </c>
      <c r="L488" s="815">
        <f ca="1">'Manufacturing Costs'!L400*'Cost Input'!$F$93*L$181/Dashboard!I$110</f>
        <v>0</v>
      </c>
      <c r="M488" s="815">
        <f ca="1">'Manufacturing Costs'!M400*'Cost Input'!$F$93*M$181/Dashboard!J$110</f>
        <v>0</v>
      </c>
      <c r="N488" s="562"/>
    </row>
    <row r="489" spans="2:14" ht="14" outlineLevel="1" x14ac:dyDescent="0.15">
      <c r="B489" s="507"/>
      <c r="C489" s="8" t="s">
        <v>1674</v>
      </c>
      <c r="D489" s="26"/>
      <c r="E489" s="26"/>
      <c r="F489" s="26"/>
      <c r="G489" s="815">
        <f ca="1">'Manufacturing Costs'!G401*1000000*G$182/Dashboard!D$110</f>
        <v>218.42712123982588</v>
      </c>
      <c r="H489" s="815">
        <f ca="1">'Manufacturing Costs'!H401*1000000*H$182/Dashboard!E$110</f>
        <v>218.42712123982588</v>
      </c>
      <c r="I489" s="815">
        <f ca="1">'Manufacturing Costs'!I401*1000000*I$182/Dashboard!F$110</f>
        <v>218.42712123982588</v>
      </c>
      <c r="J489" s="815">
        <f ca="1">'Manufacturing Costs'!J401*1000000*J$182/Dashboard!G$110</f>
        <v>218.42712123982588</v>
      </c>
      <c r="K489" s="815">
        <f ca="1">'Manufacturing Costs'!K401*1000000*K$182/Dashboard!H$110</f>
        <v>218.42712123982588</v>
      </c>
      <c r="L489" s="815">
        <f ca="1">'Manufacturing Costs'!L401*1000000*L$182/Dashboard!I$110</f>
        <v>218.42712123982588</v>
      </c>
      <c r="M489" s="815">
        <f ca="1">'Manufacturing Costs'!M401*1000000*M$182/Dashboard!J$110</f>
        <v>218.42712123982588</v>
      </c>
      <c r="N489" s="562"/>
    </row>
    <row r="490" spans="2:14" ht="14" outlineLevel="1" x14ac:dyDescent="0.15">
      <c r="B490" s="507"/>
      <c r="C490" s="8" t="s">
        <v>1675</v>
      </c>
      <c r="D490" s="26"/>
      <c r="E490" s="26"/>
      <c r="F490" s="26"/>
      <c r="G490" s="815">
        <f ca="1">'Manufacturing Costs'!G402*'Cost Input'!$F$84*G$183/Dashboard!D$110</f>
        <v>0</v>
      </c>
      <c r="H490" s="815">
        <f ca="1">'Manufacturing Costs'!H402*'Cost Input'!$F$84*H$183/Dashboard!E$110</f>
        <v>0</v>
      </c>
      <c r="I490" s="815">
        <f ca="1">'Manufacturing Costs'!I402*'Cost Input'!$F$84*I$183/Dashboard!F$110</f>
        <v>0</v>
      </c>
      <c r="J490" s="815">
        <f ca="1">'Manufacturing Costs'!J402*'Cost Input'!$F$84*J$183/Dashboard!G$110</f>
        <v>0</v>
      </c>
      <c r="K490" s="815">
        <f ca="1">'Manufacturing Costs'!K402*'Cost Input'!$F$84*K$183/Dashboard!H$110</f>
        <v>0</v>
      </c>
      <c r="L490" s="815">
        <f ca="1">'Manufacturing Costs'!L402*'Cost Input'!$F$84*L$183/Dashboard!I$110</f>
        <v>0</v>
      </c>
      <c r="M490" s="815">
        <f ca="1">'Manufacturing Costs'!M402*'Cost Input'!$F$84*M$183/Dashboard!J$110</f>
        <v>0</v>
      </c>
      <c r="N490" s="562"/>
    </row>
    <row r="491" spans="2:14" ht="14" outlineLevel="1" x14ac:dyDescent="0.15">
      <c r="B491" s="507"/>
      <c r="C491" s="8" t="s">
        <v>1536</v>
      </c>
      <c r="D491" s="26"/>
      <c r="E491" s="26"/>
      <c r="F491" s="26"/>
      <c r="G491" s="815">
        <f ca="1">'Manufacturing Costs'!G403*'Cost Input'!$F$81*24*'Cost Input'!$F$94*G$184/Dashboard!D$110</f>
        <v>17.769590784005917</v>
      </c>
      <c r="H491" s="815">
        <f ca="1">'Manufacturing Costs'!H403*'Cost Input'!$F$81*24*'Cost Input'!$F$94*H$184/Dashboard!E$110</f>
        <v>17.769590784005917</v>
      </c>
      <c r="I491" s="815">
        <f ca="1">'Manufacturing Costs'!I403*'Cost Input'!$F$81*24*'Cost Input'!$F$94*I$184/Dashboard!F$110</f>
        <v>17.769590784005917</v>
      </c>
      <c r="J491" s="815">
        <f ca="1">'Manufacturing Costs'!J403*'Cost Input'!$F$81*24*'Cost Input'!$F$94*J$184/Dashboard!G$110</f>
        <v>17.769590784005917</v>
      </c>
      <c r="K491" s="815">
        <f ca="1">'Manufacturing Costs'!K403*'Cost Input'!$F$81*24*'Cost Input'!$F$94*K$184/Dashboard!H$110</f>
        <v>17.769590784005917</v>
      </c>
      <c r="L491" s="815">
        <f ca="1">'Manufacturing Costs'!L403*'Cost Input'!$F$81*24*'Cost Input'!$F$94*L$184/Dashboard!I$110</f>
        <v>17.769590784005917</v>
      </c>
      <c r="M491" s="815">
        <f ca="1">'Manufacturing Costs'!M403*'Cost Input'!$F$81*24*'Cost Input'!$F$94*M$184/Dashboard!J$110</f>
        <v>17.769590784005917</v>
      </c>
      <c r="N491" s="562"/>
    </row>
    <row r="492" spans="2:14" ht="14" outlineLevel="1" x14ac:dyDescent="0.15">
      <c r="B492" s="507"/>
      <c r="C492" s="8" t="s">
        <v>1676</v>
      </c>
      <c r="D492" s="26"/>
      <c r="E492" s="26"/>
      <c r="F492" s="26"/>
      <c r="G492" s="815">
        <f ca="1">SUM(G488:G491)</f>
        <v>236.19671202383179</v>
      </c>
      <c r="H492" s="815">
        <f t="shared" ref="H492:M492" ca="1" si="160">SUM(H488:H491)</f>
        <v>236.19671202383179</v>
      </c>
      <c r="I492" s="815">
        <f t="shared" ca="1" si="160"/>
        <v>236.19671202383179</v>
      </c>
      <c r="J492" s="815">
        <f t="shared" ca="1" si="160"/>
        <v>236.19671202383179</v>
      </c>
      <c r="K492" s="815">
        <f t="shared" ca="1" si="160"/>
        <v>236.19671202383179</v>
      </c>
      <c r="L492" s="815">
        <f t="shared" ca="1" si="160"/>
        <v>236.19671202383179</v>
      </c>
      <c r="M492" s="815">
        <f t="shared" ca="1" si="160"/>
        <v>236.19671202383179</v>
      </c>
      <c r="N492" s="562"/>
    </row>
    <row r="493" spans="2:14" ht="14" outlineLevel="1" x14ac:dyDescent="0.15">
      <c r="B493" s="507"/>
      <c r="C493" s="8"/>
      <c r="D493" s="26"/>
      <c r="E493" s="26"/>
      <c r="F493" s="26"/>
      <c r="G493" s="367"/>
      <c r="H493" s="367"/>
      <c r="I493" s="367"/>
      <c r="J493" s="367"/>
      <c r="K493" s="367"/>
      <c r="L493" s="367"/>
      <c r="M493" s="367"/>
      <c r="N493" s="562"/>
    </row>
    <row r="494" spans="2:14" ht="14" outlineLevel="1" x14ac:dyDescent="0.15">
      <c r="B494" s="507"/>
      <c r="C494" s="225" t="s">
        <v>1689</v>
      </c>
      <c r="D494" s="26"/>
      <c r="E494" s="26"/>
      <c r="F494" s="26"/>
      <c r="G494" s="367"/>
      <c r="H494" s="367"/>
      <c r="I494" s="367"/>
      <c r="J494" s="367"/>
      <c r="K494" s="367"/>
      <c r="L494" s="367"/>
      <c r="M494" s="367"/>
      <c r="N494" s="562"/>
    </row>
    <row r="495" spans="2:14" ht="14" outlineLevel="1" x14ac:dyDescent="0.15">
      <c r="B495" s="507"/>
      <c r="C495" s="8" t="s">
        <v>1673</v>
      </c>
      <c r="D495" s="26"/>
      <c r="E495" s="26"/>
      <c r="F495" s="26"/>
      <c r="G495" s="815">
        <f ca="1">G488+G481+G474</f>
        <v>0</v>
      </c>
      <c r="H495" s="815">
        <f t="shared" ref="H495:M495" ca="1" si="161">H488+H481+H474</f>
        <v>0</v>
      </c>
      <c r="I495" s="815">
        <f t="shared" ca="1" si="161"/>
        <v>0</v>
      </c>
      <c r="J495" s="815">
        <f t="shared" ca="1" si="161"/>
        <v>0</v>
      </c>
      <c r="K495" s="815">
        <f t="shared" ca="1" si="161"/>
        <v>0</v>
      </c>
      <c r="L495" s="815">
        <f t="shared" ca="1" si="161"/>
        <v>0</v>
      </c>
      <c r="M495" s="815">
        <f t="shared" ca="1" si="161"/>
        <v>0</v>
      </c>
      <c r="N495" s="562"/>
    </row>
    <row r="496" spans="2:14" ht="14" outlineLevel="1" x14ac:dyDescent="0.15">
      <c r="B496" s="507"/>
      <c r="C496" s="8" t="s">
        <v>1674</v>
      </c>
      <c r="D496" s="26"/>
      <c r="E496" s="26"/>
      <c r="F496" s="26"/>
      <c r="G496" s="815">
        <f ca="1">G489+G482+G475</f>
        <v>660.99395794744305</v>
      </c>
      <c r="H496" s="815">
        <f t="shared" ref="H496:M496" ca="1" si="162">H489+H482+H475</f>
        <v>660.99395794744305</v>
      </c>
      <c r="I496" s="815">
        <f t="shared" ca="1" si="162"/>
        <v>660.99395794744305</v>
      </c>
      <c r="J496" s="815">
        <f t="shared" ca="1" si="162"/>
        <v>660.99395794744305</v>
      </c>
      <c r="K496" s="815">
        <f t="shared" ca="1" si="162"/>
        <v>660.99395794744305</v>
      </c>
      <c r="L496" s="815">
        <f t="shared" ca="1" si="162"/>
        <v>660.99395794744305</v>
      </c>
      <c r="M496" s="815">
        <f t="shared" ca="1" si="162"/>
        <v>660.99395794744305</v>
      </c>
      <c r="N496" s="562"/>
    </row>
    <row r="497" spans="2:14" ht="14" outlineLevel="1" x14ac:dyDescent="0.15">
      <c r="B497" s="507"/>
      <c r="C497" s="8" t="s">
        <v>1675</v>
      </c>
      <c r="D497" s="26"/>
      <c r="E497" s="26"/>
      <c r="F497" s="26"/>
      <c r="G497" s="815">
        <f ca="1">G490+G483+G476</f>
        <v>0</v>
      </c>
      <c r="H497" s="815">
        <f t="shared" ref="H497:M497" ca="1" si="163">H490+H483+H476</f>
        <v>0</v>
      </c>
      <c r="I497" s="815">
        <f t="shared" ca="1" si="163"/>
        <v>0</v>
      </c>
      <c r="J497" s="815">
        <f t="shared" ca="1" si="163"/>
        <v>0</v>
      </c>
      <c r="K497" s="815">
        <f t="shared" ca="1" si="163"/>
        <v>0</v>
      </c>
      <c r="L497" s="815">
        <f t="shared" ca="1" si="163"/>
        <v>0</v>
      </c>
      <c r="M497" s="815">
        <f t="shared" ca="1" si="163"/>
        <v>0</v>
      </c>
      <c r="N497" s="562"/>
    </row>
    <row r="498" spans="2:14" ht="14" outlineLevel="1" x14ac:dyDescent="0.15">
      <c r="B498" s="507"/>
      <c r="C498" s="8" t="s">
        <v>1536</v>
      </c>
      <c r="D498" s="26"/>
      <c r="E498" s="26"/>
      <c r="F498" s="26"/>
      <c r="G498" s="815">
        <f ca="1">G491+G484+G477</f>
        <v>55.377270308884476</v>
      </c>
      <c r="H498" s="815">
        <f t="shared" ref="H498:M498" ca="1" si="164">H491+H484+H477</f>
        <v>55.377270308884476</v>
      </c>
      <c r="I498" s="815">
        <f t="shared" ca="1" si="164"/>
        <v>55.377270308884476</v>
      </c>
      <c r="J498" s="815">
        <f t="shared" ca="1" si="164"/>
        <v>55.377270308884476</v>
      </c>
      <c r="K498" s="815">
        <f t="shared" ca="1" si="164"/>
        <v>55.377270308884476</v>
      </c>
      <c r="L498" s="815">
        <f t="shared" ca="1" si="164"/>
        <v>55.377270308884476</v>
      </c>
      <c r="M498" s="815">
        <f t="shared" ca="1" si="164"/>
        <v>55.377270308884476</v>
      </c>
      <c r="N498" s="562"/>
    </row>
    <row r="499" spans="2:14" ht="14" outlineLevel="1" x14ac:dyDescent="0.15">
      <c r="B499" s="507"/>
      <c r="C499" s="8" t="s">
        <v>1676</v>
      </c>
      <c r="D499" s="26"/>
      <c r="E499" s="26"/>
      <c r="F499" s="26"/>
      <c r="G499" s="815">
        <f ca="1">G492+G485+G478</f>
        <v>716.37122825632764</v>
      </c>
      <c r="H499" s="815">
        <f t="shared" ref="H499:M499" ca="1" si="165">H492+H485+H478</f>
        <v>716.37122825632764</v>
      </c>
      <c r="I499" s="815">
        <f t="shared" ca="1" si="165"/>
        <v>716.37122825632764</v>
      </c>
      <c r="J499" s="815">
        <f t="shared" ca="1" si="165"/>
        <v>716.37122825632764</v>
      </c>
      <c r="K499" s="815">
        <f t="shared" ca="1" si="165"/>
        <v>716.37122825632764</v>
      </c>
      <c r="L499" s="815">
        <f t="shared" ca="1" si="165"/>
        <v>716.37122825632764</v>
      </c>
      <c r="M499" s="815">
        <f t="shared" ca="1" si="165"/>
        <v>716.37122825632764</v>
      </c>
      <c r="N499" s="562"/>
    </row>
    <row r="500" spans="2:14" ht="14" outlineLevel="1" x14ac:dyDescent="0.15">
      <c r="B500" s="507"/>
      <c r="C500" s="8"/>
      <c r="D500" s="26"/>
      <c r="E500" s="26"/>
      <c r="F500" s="26"/>
      <c r="G500" s="367"/>
      <c r="H500" s="367"/>
      <c r="I500" s="367"/>
      <c r="J500" s="367"/>
      <c r="K500" s="367"/>
      <c r="L500" s="367"/>
      <c r="M500" s="367"/>
      <c r="N500" s="562"/>
    </row>
    <row r="501" spans="2:14" ht="14" outlineLevel="1" x14ac:dyDescent="0.15">
      <c r="B501" s="507" t="s">
        <v>1690</v>
      </c>
      <c r="C501" s="8"/>
      <c r="D501" s="26"/>
      <c r="E501" s="26"/>
      <c r="F501" s="26"/>
      <c r="G501" s="367"/>
      <c r="H501" s="367"/>
      <c r="I501" s="367"/>
      <c r="J501" s="367"/>
      <c r="K501" s="367"/>
      <c r="L501" s="367"/>
      <c r="M501" s="367"/>
      <c r="N501" s="562"/>
    </row>
    <row r="502" spans="2:14" outlineLevel="1" x14ac:dyDescent="0.15">
      <c r="C502" s="8" t="s">
        <v>1673</v>
      </c>
      <c r="D502" s="26"/>
      <c r="E502" s="26"/>
      <c r="F502" s="26"/>
      <c r="G502" s="815">
        <f ca="1">G452+G459+G466+G495</f>
        <v>9.507238894357311</v>
      </c>
      <c r="H502" s="815">
        <f t="shared" ref="H502:M502" ca="1" si="166">H452+H459+H466+H495</f>
        <v>9.507238894357311</v>
      </c>
      <c r="I502" s="815">
        <f t="shared" ca="1" si="166"/>
        <v>9.507238894357311</v>
      </c>
      <c r="J502" s="815">
        <f t="shared" ca="1" si="166"/>
        <v>9.507238894357311</v>
      </c>
      <c r="K502" s="815">
        <f t="shared" ca="1" si="166"/>
        <v>9.507238894357311</v>
      </c>
      <c r="L502" s="815">
        <f t="shared" ca="1" si="166"/>
        <v>9.507238894357311</v>
      </c>
      <c r="M502" s="815">
        <f t="shared" ca="1" si="166"/>
        <v>9.507238894357311</v>
      </c>
      <c r="N502" s="562"/>
    </row>
    <row r="503" spans="2:14" outlineLevel="1" x14ac:dyDescent="0.15">
      <c r="C503" s="8" t="s">
        <v>1674</v>
      </c>
      <c r="D503" s="26"/>
      <c r="E503" s="26"/>
      <c r="F503" s="26"/>
      <c r="G503" s="815">
        <f ca="1">G453+G460+G467+G496</f>
        <v>684.76125571118064</v>
      </c>
      <c r="H503" s="815">
        <f t="shared" ref="H503:M503" ca="1" si="167">H453+H460+H467+H496</f>
        <v>684.76125571118064</v>
      </c>
      <c r="I503" s="815">
        <f t="shared" ca="1" si="167"/>
        <v>684.76125571118064</v>
      </c>
      <c r="J503" s="815">
        <f t="shared" ca="1" si="167"/>
        <v>684.76125571118064</v>
      </c>
      <c r="K503" s="815">
        <f t="shared" ca="1" si="167"/>
        <v>684.76125571118064</v>
      </c>
      <c r="L503" s="815">
        <f t="shared" ca="1" si="167"/>
        <v>684.76125571118064</v>
      </c>
      <c r="M503" s="815">
        <f t="shared" ca="1" si="167"/>
        <v>684.76125571118064</v>
      </c>
      <c r="N503" s="562"/>
    </row>
    <row r="504" spans="2:14" outlineLevel="1" x14ac:dyDescent="0.15">
      <c r="C504" s="8" t="s">
        <v>1675</v>
      </c>
      <c r="D504" s="26"/>
      <c r="E504" s="26"/>
      <c r="F504" s="26"/>
      <c r="G504" s="815">
        <f t="shared" ref="G504:M506" ca="1" si="168">G454+G461+G468+G497</f>
        <v>2.0501226802610599</v>
      </c>
      <c r="H504" s="815">
        <f t="shared" ca="1" si="168"/>
        <v>2.0501226802610599</v>
      </c>
      <c r="I504" s="815">
        <f t="shared" ca="1" si="168"/>
        <v>2.0501226802610599</v>
      </c>
      <c r="J504" s="815">
        <f t="shared" ca="1" si="168"/>
        <v>2.0501226802610599</v>
      </c>
      <c r="K504" s="815">
        <f t="shared" ca="1" si="168"/>
        <v>2.0501226802610599</v>
      </c>
      <c r="L504" s="815">
        <f t="shared" ca="1" si="168"/>
        <v>2.0501226802610599</v>
      </c>
      <c r="M504" s="815">
        <f t="shared" ca="1" si="168"/>
        <v>2.0501226802610599</v>
      </c>
      <c r="N504" s="562"/>
    </row>
    <row r="505" spans="2:14" outlineLevel="1" x14ac:dyDescent="0.15">
      <c r="C505" s="8" t="s">
        <v>1536</v>
      </c>
      <c r="D505" s="26"/>
      <c r="E505" s="26"/>
      <c r="F505" s="26"/>
      <c r="G505" s="815">
        <f t="shared" ca="1" si="168"/>
        <v>58.22227101837052</v>
      </c>
      <c r="H505" s="815">
        <f t="shared" ca="1" si="168"/>
        <v>58.22227101837052</v>
      </c>
      <c r="I505" s="815">
        <f t="shared" ca="1" si="168"/>
        <v>58.22227101837052</v>
      </c>
      <c r="J505" s="815">
        <f t="shared" ca="1" si="168"/>
        <v>58.22227101837052</v>
      </c>
      <c r="K505" s="815">
        <f t="shared" ca="1" si="168"/>
        <v>58.22227101837052</v>
      </c>
      <c r="L505" s="815">
        <f t="shared" ca="1" si="168"/>
        <v>58.22227101837052</v>
      </c>
      <c r="M505" s="815">
        <f t="shared" ca="1" si="168"/>
        <v>58.22227101837052</v>
      </c>
      <c r="N505" s="562"/>
    </row>
    <row r="506" spans="2:14" outlineLevel="1" x14ac:dyDescent="0.15">
      <c r="C506" s="8" t="s">
        <v>1676</v>
      </c>
      <c r="D506" s="26"/>
      <c r="E506" s="26"/>
      <c r="F506" s="26"/>
      <c r="G506" s="815">
        <f t="shared" ca="1" si="168"/>
        <v>754.54088830416958</v>
      </c>
      <c r="H506" s="815">
        <f t="shared" ca="1" si="168"/>
        <v>754.54088830416958</v>
      </c>
      <c r="I506" s="815">
        <f t="shared" ca="1" si="168"/>
        <v>754.54088830416958</v>
      </c>
      <c r="J506" s="815">
        <f t="shared" ca="1" si="168"/>
        <v>754.54088830416958</v>
      </c>
      <c r="K506" s="815">
        <f t="shared" ca="1" si="168"/>
        <v>754.54088830416958</v>
      </c>
      <c r="L506" s="815">
        <f t="shared" ca="1" si="168"/>
        <v>754.54088830416958</v>
      </c>
      <c r="M506" s="815">
        <f t="shared" ca="1" si="168"/>
        <v>754.54088830416958</v>
      </c>
      <c r="N506" s="562"/>
    </row>
    <row r="507" spans="2:14" outlineLevel="1" x14ac:dyDescent="0.15">
      <c r="C507" s="8"/>
      <c r="D507" s="26"/>
      <c r="E507" s="26"/>
      <c r="F507" s="26"/>
      <c r="G507" s="367"/>
      <c r="H507" s="367"/>
      <c r="I507" s="367"/>
      <c r="J507" s="367"/>
      <c r="K507" s="367"/>
      <c r="L507" s="367"/>
      <c r="M507" s="367"/>
      <c r="N507" s="562"/>
    </row>
    <row r="508" spans="2:14" ht="16" outlineLevel="1" x14ac:dyDescent="0.2">
      <c r="B508" s="5" t="s">
        <v>1691</v>
      </c>
      <c r="C508" s="8"/>
      <c r="D508" s="26"/>
      <c r="E508" s="26"/>
      <c r="F508" s="26"/>
      <c r="G508" s="367"/>
      <c r="H508" s="367"/>
      <c r="I508" s="367"/>
      <c r="J508" s="367"/>
      <c r="K508" s="367"/>
      <c r="L508" s="367"/>
      <c r="M508" s="367"/>
      <c r="N508" s="562"/>
    </row>
    <row r="509" spans="2:14" ht="14" outlineLevel="1" x14ac:dyDescent="0.15">
      <c r="B509" s="507" t="s">
        <v>1692</v>
      </c>
      <c r="C509" s="8"/>
      <c r="D509" s="26"/>
      <c r="E509" s="26"/>
      <c r="F509" s="26"/>
      <c r="G509" s="367"/>
      <c r="H509" s="367"/>
      <c r="I509" s="367"/>
      <c r="J509" s="367"/>
      <c r="K509" s="367"/>
      <c r="L509" s="367"/>
      <c r="M509" s="367"/>
      <c r="N509" s="562"/>
    </row>
    <row r="510" spans="2:14" outlineLevel="1" x14ac:dyDescent="0.15">
      <c r="B510" s="8" t="s">
        <v>1693</v>
      </c>
      <c r="D510" s="26"/>
      <c r="E510" s="26"/>
      <c r="F510" s="26"/>
      <c r="G510" s="815">
        <f ca="1">G359</f>
        <v>442.6626725217626</v>
      </c>
      <c r="H510" s="815">
        <f t="shared" ref="H510:M510" ca="1" si="169">H359</f>
        <v>442.6626725217626</v>
      </c>
      <c r="I510" s="815">
        <f t="shared" ca="1" si="169"/>
        <v>442.6626725217626</v>
      </c>
      <c r="J510" s="815">
        <f t="shared" ca="1" si="169"/>
        <v>442.6626725217626</v>
      </c>
      <c r="K510" s="815">
        <f t="shared" ca="1" si="169"/>
        <v>442.6626725217626</v>
      </c>
      <c r="L510" s="815">
        <f t="shared" ca="1" si="169"/>
        <v>442.6626725217626</v>
      </c>
      <c r="M510" s="815">
        <f t="shared" ca="1" si="169"/>
        <v>442.6626725217626</v>
      </c>
      <c r="N510" s="562"/>
    </row>
    <row r="511" spans="2:14" outlineLevel="1" x14ac:dyDescent="0.15">
      <c r="B511" s="8" t="s">
        <v>1694</v>
      </c>
      <c r="D511" s="26"/>
      <c r="E511" s="26"/>
      <c r="F511" s="26"/>
      <c r="G511" s="815">
        <f ca="1">G416</f>
        <v>373.68421801877275</v>
      </c>
      <c r="H511" s="815">
        <f t="shared" ref="H511:M511" ca="1" si="170">H416</f>
        <v>373.68421801877275</v>
      </c>
      <c r="I511" s="815">
        <f t="shared" ca="1" si="170"/>
        <v>373.68421801877275</v>
      </c>
      <c r="J511" s="815">
        <f t="shared" ca="1" si="170"/>
        <v>373.68421801877275</v>
      </c>
      <c r="K511" s="815">
        <f t="shared" ca="1" si="170"/>
        <v>373.68421801877275</v>
      </c>
      <c r="L511" s="815">
        <f t="shared" ca="1" si="170"/>
        <v>373.68421801877275</v>
      </c>
      <c r="M511" s="815">
        <f t="shared" ca="1" si="170"/>
        <v>373.68421801877275</v>
      </c>
      <c r="N511" s="562"/>
    </row>
    <row r="512" spans="2:14" outlineLevel="1" x14ac:dyDescent="0.15">
      <c r="B512" s="8" t="s">
        <v>1695</v>
      </c>
      <c r="D512" s="26"/>
      <c r="E512" s="26"/>
      <c r="F512" s="26"/>
      <c r="G512" s="815">
        <f ca="1">G424</f>
        <v>495.06910577063866</v>
      </c>
      <c r="H512" s="815">
        <f t="shared" ref="H512:M512" ca="1" si="171">H424</f>
        <v>495.06910577063866</v>
      </c>
      <c r="I512" s="815">
        <f t="shared" ca="1" si="171"/>
        <v>495.06910577063866</v>
      </c>
      <c r="J512" s="815">
        <f t="shared" ca="1" si="171"/>
        <v>495.06910577063866</v>
      </c>
      <c r="K512" s="815">
        <f t="shared" ca="1" si="171"/>
        <v>495.06910577063866</v>
      </c>
      <c r="L512" s="815">
        <f t="shared" ca="1" si="171"/>
        <v>495.06910577063866</v>
      </c>
      <c r="M512" s="815">
        <f t="shared" ca="1" si="171"/>
        <v>495.06910577063866</v>
      </c>
      <c r="N512" s="562"/>
    </row>
    <row r="513" spans="2:14" outlineLevel="1" x14ac:dyDescent="0.15">
      <c r="B513" s="8" t="s">
        <v>1696</v>
      </c>
      <c r="D513" s="26"/>
      <c r="E513" s="26"/>
      <c r="F513" s="26"/>
      <c r="G513" s="815">
        <f>G432</f>
        <v>74.958297256511273</v>
      </c>
      <c r="H513" s="815">
        <f t="shared" ref="H513:M513" si="172">H432</f>
        <v>74.958297256511273</v>
      </c>
      <c r="I513" s="815">
        <f t="shared" si="172"/>
        <v>74.958297256511273</v>
      </c>
      <c r="J513" s="815">
        <f t="shared" si="172"/>
        <v>74.958297256511273</v>
      </c>
      <c r="K513" s="815">
        <f t="shared" si="172"/>
        <v>74.958297256511273</v>
      </c>
      <c r="L513" s="815">
        <f t="shared" si="172"/>
        <v>74.958297256511273</v>
      </c>
      <c r="M513" s="815">
        <f t="shared" si="172"/>
        <v>74.958297256511273</v>
      </c>
      <c r="N513" s="562"/>
    </row>
    <row r="514" spans="2:14" outlineLevel="1" x14ac:dyDescent="0.15">
      <c r="B514" s="8" t="s">
        <v>1697</v>
      </c>
      <c r="D514" s="26"/>
      <c r="E514" s="26"/>
      <c r="F514" s="26"/>
      <c r="G514" s="815">
        <f>G440</f>
        <v>67.817509889338723</v>
      </c>
      <c r="H514" s="815">
        <f t="shared" ref="H514:M514" si="173">H440</f>
        <v>67.817509889338723</v>
      </c>
      <c r="I514" s="815">
        <f t="shared" si="173"/>
        <v>67.817509889338723</v>
      </c>
      <c r="J514" s="815">
        <f t="shared" si="173"/>
        <v>67.817509889338723</v>
      </c>
      <c r="K514" s="815">
        <f t="shared" si="173"/>
        <v>67.817509889338723</v>
      </c>
      <c r="L514" s="815">
        <f t="shared" si="173"/>
        <v>67.817509889338723</v>
      </c>
      <c r="M514" s="815">
        <f t="shared" si="173"/>
        <v>67.817509889338723</v>
      </c>
      <c r="N514" s="562"/>
    </row>
    <row r="515" spans="2:14" outlineLevel="1" x14ac:dyDescent="0.15">
      <c r="B515" s="8" t="s">
        <v>1698</v>
      </c>
      <c r="D515" s="26"/>
      <c r="E515" s="26"/>
      <c r="F515" s="26"/>
      <c r="G515" s="815">
        <f ca="1">G448</f>
        <v>89.327382925612696</v>
      </c>
      <c r="H515" s="815">
        <f t="shared" ref="H515:M515" ca="1" si="174">H448</f>
        <v>89.327382925612696</v>
      </c>
      <c r="I515" s="815">
        <f t="shared" ca="1" si="174"/>
        <v>89.327382925612696</v>
      </c>
      <c r="J515" s="815">
        <f t="shared" ca="1" si="174"/>
        <v>89.327382925612696</v>
      </c>
      <c r="K515" s="815">
        <f t="shared" ca="1" si="174"/>
        <v>89.327382925612696</v>
      </c>
      <c r="L515" s="815">
        <f t="shared" ca="1" si="174"/>
        <v>89.327382925612696</v>
      </c>
      <c r="M515" s="815">
        <f t="shared" ca="1" si="174"/>
        <v>89.327382925612696</v>
      </c>
      <c r="N515" s="562"/>
    </row>
    <row r="516" spans="2:14" outlineLevel="1" x14ac:dyDescent="0.15">
      <c r="B516" s="8" t="s">
        <v>1699</v>
      </c>
      <c r="D516" s="26"/>
      <c r="E516" s="26"/>
      <c r="F516" s="26"/>
      <c r="G516" s="815">
        <f ca="1">G506</f>
        <v>754.54088830416958</v>
      </c>
      <c r="H516" s="815">
        <f t="shared" ref="H516:M516" ca="1" si="175">H506</f>
        <v>754.54088830416958</v>
      </c>
      <c r="I516" s="815">
        <f t="shared" ca="1" si="175"/>
        <v>754.54088830416958</v>
      </c>
      <c r="J516" s="815">
        <f t="shared" ca="1" si="175"/>
        <v>754.54088830416958</v>
      </c>
      <c r="K516" s="815">
        <f t="shared" ca="1" si="175"/>
        <v>754.54088830416958</v>
      </c>
      <c r="L516" s="815">
        <f t="shared" ca="1" si="175"/>
        <v>754.54088830416958</v>
      </c>
      <c r="M516" s="815">
        <f t="shared" ca="1" si="175"/>
        <v>754.54088830416958</v>
      </c>
      <c r="N516" s="562"/>
    </row>
    <row r="517" spans="2:14" outlineLevel="1" x14ac:dyDescent="0.15">
      <c r="B517" s="8" t="s">
        <v>1700</v>
      </c>
      <c r="D517" s="26"/>
      <c r="E517" s="26"/>
      <c r="F517" s="26"/>
      <c r="G517" s="815">
        <f ca="1">SUM(G510:G516)</f>
        <v>2298.0600746868063</v>
      </c>
      <c r="H517" s="815">
        <f t="shared" ref="H517:M517" ca="1" si="176">SUM(H510:H516)</f>
        <v>2298.0600746868063</v>
      </c>
      <c r="I517" s="815">
        <f t="shared" ca="1" si="176"/>
        <v>2298.0600746868063</v>
      </c>
      <c r="J517" s="815">
        <f t="shared" ca="1" si="176"/>
        <v>2298.0600746868063</v>
      </c>
      <c r="K517" s="815">
        <f t="shared" ca="1" si="176"/>
        <v>2298.0600746868063</v>
      </c>
      <c r="L517" s="815">
        <f t="shared" ca="1" si="176"/>
        <v>2298.0600746868063</v>
      </c>
      <c r="M517" s="815">
        <f t="shared" ca="1" si="176"/>
        <v>2298.0600746868063</v>
      </c>
      <c r="N517" s="562"/>
    </row>
    <row r="518" spans="2:14" outlineLevel="1" x14ac:dyDescent="0.15">
      <c r="B518" s="8"/>
      <c r="D518" s="26"/>
      <c r="E518" s="26"/>
      <c r="F518" s="26"/>
      <c r="G518" s="815"/>
      <c r="H518" s="815"/>
      <c r="I518" s="815"/>
      <c r="J518" s="815"/>
      <c r="K518" s="815"/>
      <c r="L518" s="815"/>
      <c r="M518" s="815"/>
      <c r="N518" s="562"/>
    </row>
    <row r="519" spans="2:14" ht="14" outlineLevel="1" x14ac:dyDescent="0.15">
      <c r="B519" s="507" t="s">
        <v>1701</v>
      </c>
      <c r="D519" s="26"/>
      <c r="E519" s="26"/>
      <c r="F519" s="26"/>
      <c r="G519" s="815"/>
      <c r="H519" s="815"/>
      <c r="I519" s="815"/>
      <c r="J519" s="815"/>
      <c r="K519" s="815"/>
      <c r="L519" s="815"/>
      <c r="M519" s="815"/>
      <c r="N519" s="562"/>
    </row>
    <row r="520" spans="2:14" outlineLevel="1" x14ac:dyDescent="0.15">
      <c r="B520" s="8" t="s">
        <v>1542</v>
      </c>
      <c r="D520" s="26"/>
      <c r="E520" s="26"/>
      <c r="F520" s="26"/>
      <c r="G520" s="815">
        <f ca="1">G355+G412+G420+G428+G436+G444+G502</f>
        <v>339.96280857286234</v>
      </c>
      <c r="H520" s="815">
        <f t="shared" ref="H520:M520" ca="1" si="177">H355+H412+H420+H428+H436+H444+H502</f>
        <v>339.96280857286234</v>
      </c>
      <c r="I520" s="815">
        <f t="shared" ca="1" si="177"/>
        <v>339.96280857286234</v>
      </c>
      <c r="J520" s="815">
        <f t="shared" ca="1" si="177"/>
        <v>339.96280857286234</v>
      </c>
      <c r="K520" s="815">
        <f t="shared" ca="1" si="177"/>
        <v>339.96280857286234</v>
      </c>
      <c r="L520" s="815">
        <f t="shared" ca="1" si="177"/>
        <v>339.96280857286234</v>
      </c>
      <c r="M520" s="815">
        <f t="shared" ca="1" si="177"/>
        <v>339.96280857286234</v>
      </c>
      <c r="N520" s="562"/>
    </row>
    <row r="521" spans="2:14" outlineLevel="1" x14ac:dyDescent="0.15">
      <c r="B521" s="8" t="s">
        <v>1702</v>
      </c>
      <c r="D521" s="26"/>
      <c r="E521" s="26"/>
      <c r="F521" s="26"/>
      <c r="G521" s="815">
        <f ca="1">G356+G413+G421+G429+G437+G445+G503</f>
        <v>1691.3362490067448</v>
      </c>
      <c r="H521" s="815">
        <f t="shared" ref="H521:M521" ca="1" si="178">H356+H413+H421+H429+H437+H445+H503</f>
        <v>1691.3362490067448</v>
      </c>
      <c r="I521" s="815">
        <f t="shared" ca="1" si="178"/>
        <v>1691.3362490067448</v>
      </c>
      <c r="J521" s="815">
        <f t="shared" ca="1" si="178"/>
        <v>1691.3362490067448</v>
      </c>
      <c r="K521" s="815">
        <f t="shared" ca="1" si="178"/>
        <v>1691.3362490067448</v>
      </c>
      <c r="L521" s="815">
        <f t="shared" ca="1" si="178"/>
        <v>1691.3362490067448</v>
      </c>
      <c r="M521" s="815">
        <f t="shared" ca="1" si="178"/>
        <v>1691.3362490067448</v>
      </c>
      <c r="N521" s="562"/>
    </row>
    <row r="522" spans="2:14" outlineLevel="1" x14ac:dyDescent="0.15">
      <c r="B522" s="8" t="s">
        <v>1703</v>
      </c>
      <c r="D522" s="26"/>
      <c r="E522" s="26"/>
      <c r="F522" s="26"/>
      <c r="G522" s="815">
        <f ca="1">G357+G414+G422+G430+G438+G446+G504</f>
        <v>102.06384880118513</v>
      </c>
      <c r="H522" s="815">
        <f t="shared" ref="H522:M522" ca="1" si="179">H357+H414+H422+H430+H438+H446+H504</f>
        <v>102.06384880118513</v>
      </c>
      <c r="I522" s="815">
        <f t="shared" ca="1" si="179"/>
        <v>102.06384880118513</v>
      </c>
      <c r="J522" s="815">
        <f t="shared" ca="1" si="179"/>
        <v>102.06384880118513</v>
      </c>
      <c r="K522" s="815">
        <f t="shared" ca="1" si="179"/>
        <v>102.06384880118513</v>
      </c>
      <c r="L522" s="815">
        <f t="shared" ca="1" si="179"/>
        <v>102.06384880118513</v>
      </c>
      <c r="M522" s="815">
        <f t="shared" ca="1" si="179"/>
        <v>102.06384880118513</v>
      </c>
      <c r="N522" s="562"/>
    </row>
    <row r="523" spans="2:14" outlineLevel="1" x14ac:dyDescent="0.15">
      <c r="B523" s="8" t="s">
        <v>1444</v>
      </c>
      <c r="D523" s="26"/>
      <c r="E523" s="26"/>
      <c r="F523" s="26"/>
      <c r="G523" s="815">
        <f ca="1">G358+G415+G423+G431+G439+G447+G505</f>
        <v>164.69716830601402</v>
      </c>
      <c r="H523" s="815">
        <f t="shared" ref="H523:M523" ca="1" si="180">H358+H415+H423+H431+H439+H447+H505</f>
        <v>164.69716830601402</v>
      </c>
      <c r="I523" s="815">
        <f t="shared" ca="1" si="180"/>
        <v>164.69716830601402</v>
      </c>
      <c r="J523" s="815">
        <f t="shared" ca="1" si="180"/>
        <v>164.69716830601402</v>
      </c>
      <c r="K523" s="815">
        <f t="shared" ca="1" si="180"/>
        <v>164.69716830601402</v>
      </c>
      <c r="L523" s="815">
        <f t="shared" ca="1" si="180"/>
        <v>164.69716830601402</v>
      </c>
      <c r="M523" s="815">
        <f t="shared" ca="1" si="180"/>
        <v>164.69716830601402</v>
      </c>
      <c r="N523" s="562"/>
    </row>
    <row r="524" spans="2:14" outlineLevel="1" x14ac:dyDescent="0.15">
      <c r="B524" s="8" t="s">
        <v>1700</v>
      </c>
      <c r="D524" s="26"/>
      <c r="E524" s="26"/>
      <c r="F524" s="26"/>
      <c r="G524" s="815">
        <f ca="1">SUM(G520:G523)</f>
        <v>2298.0600746868063</v>
      </c>
      <c r="H524" s="815">
        <f t="shared" ref="H524:M524" ca="1" si="181">SUM(H520:H523)</f>
        <v>2298.0600746868063</v>
      </c>
      <c r="I524" s="815">
        <f t="shared" ca="1" si="181"/>
        <v>2298.0600746868063</v>
      </c>
      <c r="J524" s="815">
        <f t="shared" ca="1" si="181"/>
        <v>2298.0600746868063</v>
      </c>
      <c r="K524" s="815">
        <f t="shared" ca="1" si="181"/>
        <v>2298.0600746868063</v>
      </c>
      <c r="L524" s="815">
        <f t="shared" ca="1" si="181"/>
        <v>2298.0600746868063</v>
      </c>
      <c r="M524" s="815">
        <f t="shared" ca="1" si="181"/>
        <v>2298.0600746868063</v>
      </c>
      <c r="N524" s="562"/>
    </row>
    <row r="525" spans="2:14" outlineLevel="1" x14ac:dyDescent="0.15">
      <c r="C525" s="8"/>
      <c r="D525" s="26"/>
      <c r="E525" s="26"/>
      <c r="F525" s="26"/>
      <c r="G525" s="367"/>
      <c r="H525" s="367"/>
      <c r="I525" s="367"/>
      <c r="J525" s="367"/>
      <c r="K525" s="367"/>
      <c r="L525" s="367"/>
      <c r="M525" s="367"/>
      <c r="N525" s="562"/>
    </row>
    <row r="526" spans="2:14" ht="16" outlineLevel="1" x14ac:dyDescent="0.2">
      <c r="B526" s="5" t="s">
        <v>1704</v>
      </c>
      <c r="C526" s="8"/>
      <c r="D526" s="26"/>
      <c r="E526" s="26"/>
      <c r="F526" s="26"/>
      <c r="G526" s="367"/>
      <c r="H526" s="367"/>
      <c r="I526" s="367"/>
      <c r="J526" s="367"/>
      <c r="K526" s="367"/>
      <c r="L526" s="367"/>
      <c r="M526" s="367"/>
      <c r="N526" s="562"/>
    </row>
    <row r="527" spans="2:14" outlineLevel="1" x14ac:dyDescent="0.15">
      <c r="B527" s="8" t="s">
        <v>1705</v>
      </c>
      <c r="C527" s="8"/>
      <c r="D527" s="26"/>
      <c r="E527" s="26"/>
      <c r="F527" s="26"/>
      <c r="G527" s="815">
        <f ca="1">G198</f>
        <v>8079.1410210071072</v>
      </c>
      <c r="H527" s="815">
        <f t="shared" ref="H527:M527" ca="1" si="182">H198</f>
        <v>8079.1410210071072</v>
      </c>
      <c r="I527" s="815">
        <f t="shared" ca="1" si="182"/>
        <v>8079.1410210071072</v>
      </c>
      <c r="J527" s="815">
        <f t="shared" ca="1" si="182"/>
        <v>8079.1410210071072</v>
      </c>
      <c r="K527" s="815">
        <f t="shared" ca="1" si="182"/>
        <v>8079.1410210071072</v>
      </c>
      <c r="L527" s="815">
        <f t="shared" ca="1" si="182"/>
        <v>8079.1410210071072</v>
      </c>
      <c r="M527" s="815">
        <f t="shared" ca="1" si="182"/>
        <v>8079.1410210071072</v>
      </c>
      <c r="N527" s="562"/>
    </row>
    <row r="528" spans="2:14" outlineLevel="1" x14ac:dyDescent="0.15">
      <c r="B528" s="8" t="s">
        <v>1706</v>
      </c>
      <c r="C528" s="8"/>
      <c r="D528" s="26"/>
      <c r="E528" s="26"/>
      <c r="F528" s="26"/>
      <c r="G528" s="815">
        <f ca="1">G235</f>
        <v>1536.3047260013941</v>
      </c>
      <c r="H528" s="815">
        <f t="shared" ref="H528:M528" ca="1" si="183">H235</f>
        <v>1536.3047260013941</v>
      </c>
      <c r="I528" s="815">
        <f t="shared" ca="1" si="183"/>
        <v>1536.3047260013941</v>
      </c>
      <c r="J528" s="815">
        <f t="shared" ca="1" si="183"/>
        <v>1536.3047260013941</v>
      </c>
      <c r="K528" s="815">
        <f t="shared" ca="1" si="183"/>
        <v>1536.3047260013941</v>
      </c>
      <c r="L528" s="815">
        <f t="shared" ca="1" si="183"/>
        <v>1536.3047260013941</v>
      </c>
      <c r="M528" s="815">
        <f t="shared" ca="1" si="183"/>
        <v>1536.3047260013941</v>
      </c>
      <c r="N528" s="562"/>
    </row>
    <row r="529" spans="2:16" outlineLevel="1" x14ac:dyDescent="0.15">
      <c r="B529" s="8" t="s">
        <v>1707</v>
      </c>
      <c r="C529" s="8"/>
      <c r="D529" s="26"/>
      <c r="E529" s="26"/>
      <c r="F529" s="26"/>
      <c r="G529" s="815">
        <f ca="1">G241</f>
        <v>378.521286411174</v>
      </c>
      <c r="H529" s="815">
        <f t="shared" ref="H529:M529" ca="1" si="184">H241</f>
        <v>378.521286411174</v>
      </c>
      <c r="I529" s="815">
        <f t="shared" ca="1" si="184"/>
        <v>378.521286411174</v>
      </c>
      <c r="J529" s="815">
        <f t="shared" ca="1" si="184"/>
        <v>378.521286411174</v>
      </c>
      <c r="K529" s="815">
        <f t="shared" ca="1" si="184"/>
        <v>378.521286411174</v>
      </c>
      <c r="L529" s="815">
        <f t="shared" ca="1" si="184"/>
        <v>378.521286411174</v>
      </c>
      <c r="M529" s="815">
        <f t="shared" ca="1" si="184"/>
        <v>378.521286411174</v>
      </c>
      <c r="N529" s="562"/>
    </row>
    <row r="530" spans="2:16" outlineLevel="1" x14ac:dyDescent="0.15">
      <c r="B530" s="8" t="s">
        <v>1708</v>
      </c>
      <c r="C530" s="8"/>
      <c r="D530" s="26"/>
      <c r="E530" s="26"/>
      <c r="F530" s="26"/>
      <c r="G530" s="815">
        <f ca="1">G517</f>
        <v>2298.0600746868063</v>
      </c>
      <c r="H530" s="815">
        <f t="shared" ref="H530:M530" ca="1" si="185">H517</f>
        <v>2298.0600746868063</v>
      </c>
      <c r="I530" s="815">
        <f t="shared" ca="1" si="185"/>
        <v>2298.0600746868063</v>
      </c>
      <c r="J530" s="815">
        <f t="shared" ca="1" si="185"/>
        <v>2298.0600746868063</v>
      </c>
      <c r="K530" s="815">
        <f t="shared" ca="1" si="185"/>
        <v>2298.0600746868063</v>
      </c>
      <c r="L530" s="815">
        <f t="shared" ca="1" si="185"/>
        <v>2298.0600746868063</v>
      </c>
      <c r="M530" s="815">
        <f t="shared" ca="1" si="185"/>
        <v>2298.0600746868063</v>
      </c>
      <c r="N530" s="562"/>
    </row>
    <row r="531" spans="2:16" outlineLevel="1" x14ac:dyDescent="0.15">
      <c r="B531" s="8" t="s">
        <v>1709</v>
      </c>
      <c r="C531" s="8"/>
      <c r="D531" s="26"/>
      <c r="E531" s="26"/>
      <c r="F531" s="26"/>
      <c r="G531" s="815">
        <f ca="1">SUM(G527:G530)</f>
        <v>12292.027108106482</v>
      </c>
      <c r="H531" s="815">
        <f t="shared" ref="H531:M531" ca="1" si="186">SUM(H527:H530)</f>
        <v>12292.027108106482</v>
      </c>
      <c r="I531" s="815">
        <f t="shared" ca="1" si="186"/>
        <v>12292.027108106482</v>
      </c>
      <c r="J531" s="815">
        <f t="shared" ca="1" si="186"/>
        <v>12292.027108106482</v>
      </c>
      <c r="K531" s="815">
        <f t="shared" ca="1" si="186"/>
        <v>12292.027108106482</v>
      </c>
      <c r="L531" s="815">
        <f t="shared" ca="1" si="186"/>
        <v>12292.027108106482</v>
      </c>
      <c r="M531" s="815">
        <f t="shared" ca="1" si="186"/>
        <v>12292.027108106482</v>
      </c>
      <c r="N531" s="562"/>
    </row>
    <row r="532" spans="2:16" ht="14" thickBot="1" x14ac:dyDescent="0.2">
      <c r="C532" s="8"/>
      <c r="D532" s="26"/>
      <c r="E532" s="26"/>
      <c r="F532" s="26"/>
      <c r="G532" s="367"/>
      <c r="H532" s="367"/>
      <c r="I532" s="367"/>
      <c r="J532" s="367"/>
      <c r="K532" s="367"/>
      <c r="L532" s="367"/>
      <c r="M532" s="367"/>
      <c r="N532" s="562"/>
    </row>
    <row r="533" spans="2:16" ht="21" thickBot="1" x14ac:dyDescent="0.25">
      <c r="B533" s="1262" t="s">
        <v>1710</v>
      </c>
      <c r="C533" s="1263"/>
      <c r="D533" s="1263"/>
      <c r="E533" s="1263"/>
      <c r="F533" s="1263"/>
      <c r="G533" s="1263"/>
      <c r="H533" s="1263"/>
      <c r="I533" s="1263"/>
      <c r="J533" s="1263"/>
      <c r="K533" s="1263"/>
      <c r="L533" s="1263"/>
      <c r="M533" s="1264"/>
      <c r="P533" s="36"/>
    </row>
    <row r="534" spans="2:16" ht="16" x14ac:dyDescent="0.2">
      <c r="B534" s="208" t="str">
        <f>IF(_manufact_method=1,"","Warning: section only valid for manufacturing 'Method 1: Packs are produced at the SAME rate (GWh/year) as cells (default)'")</f>
        <v/>
      </c>
    </row>
    <row r="535" spans="2:16" ht="16" outlineLevel="1" x14ac:dyDescent="0.2">
      <c r="B535" s="5" t="s">
        <v>1711</v>
      </c>
    </row>
    <row r="536" spans="2:16" ht="14" outlineLevel="1" x14ac:dyDescent="0.15">
      <c r="B536" s="507" t="s">
        <v>1540</v>
      </c>
    </row>
    <row r="537" spans="2:16" outlineLevel="1" x14ac:dyDescent="0.15">
      <c r="B537" s="8" t="s">
        <v>1613</v>
      </c>
      <c r="G537" s="1081">
        <f t="shared" ref="G537:M547" ca="1" si="187">G188/G$531</f>
        <v>0.43768803485979174</v>
      </c>
      <c r="H537" s="1081">
        <f t="shared" ca="1" si="187"/>
        <v>0.43768803485979174</v>
      </c>
      <c r="I537" s="1081">
        <f t="shared" ca="1" si="187"/>
        <v>0.43768803485979174</v>
      </c>
      <c r="J537" s="1081">
        <f t="shared" ca="1" si="187"/>
        <v>0.43768803485979174</v>
      </c>
      <c r="K537" s="1081">
        <f t="shared" ca="1" si="187"/>
        <v>0.43768803485979174</v>
      </c>
      <c r="L537" s="1081">
        <f t="shared" ca="1" si="187"/>
        <v>0.43768803485979174</v>
      </c>
      <c r="M537" s="1081">
        <f t="shared" ca="1" si="187"/>
        <v>0.43768803485979174</v>
      </c>
    </row>
    <row r="538" spans="2:16" outlineLevel="1" x14ac:dyDescent="0.15">
      <c r="B538" s="8" t="s">
        <v>1614</v>
      </c>
      <c r="G538" s="1081">
        <f t="shared" ca="1" si="187"/>
        <v>7.5141503452588965E-2</v>
      </c>
      <c r="H538" s="1081">
        <f t="shared" ca="1" si="187"/>
        <v>7.5141503452588965E-2</v>
      </c>
      <c r="I538" s="1081">
        <f t="shared" ca="1" si="187"/>
        <v>7.5141503452588965E-2</v>
      </c>
      <c r="J538" s="1081">
        <f t="shared" ca="1" si="187"/>
        <v>7.5141503452588965E-2</v>
      </c>
      <c r="K538" s="1081">
        <f t="shared" ca="1" si="187"/>
        <v>7.5141503452588965E-2</v>
      </c>
      <c r="L538" s="1081">
        <f t="shared" ca="1" si="187"/>
        <v>7.5141503452588965E-2</v>
      </c>
      <c r="M538" s="1081">
        <f t="shared" ca="1" si="187"/>
        <v>7.5141503452588965E-2</v>
      </c>
    </row>
    <row r="539" spans="2:16" outlineLevel="1" x14ac:dyDescent="0.15">
      <c r="B539" s="8" t="s">
        <v>1615</v>
      </c>
      <c r="G539" s="1081">
        <f t="shared" ca="1" si="187"/>
        <v>5.4232209584433588E-3</v>
      </c>
      <c r="H539" s="1081">
        <f t="shared" ca="1" si="187"/>
        <v>5.4232209584433588E-3</v>
      </c>
      <c r="I539" s="1081">
        <f t="shared" ca="1" si="187"/>
        <v>5.4232209584433588E-3</v>
      </c>
      <c r="J539" s="1081">
        <f t="shared" ca="1" si="187"/>
        <v>5.4232209584433588E-3</v>
      </c>
      <c r="K539" s="1081">
        <f t="shared" ca="1" si="187"/>
        <v>5.4232209584433588E-3</v>
      </c>
      <c r="L539" s="1081">
        <f t="shared" ca="1" si="187"/>
        <v>5.4232209584433588E-3</v>
      </c>
      <c r="M539" s="1081">
        <f t="shared" ca="1" si="187"/>
        <v>5.4232209584433588E-3</v>
      </c>
    </row>
    <row r="540" spans="2:16" outlineLevel="1" x14ac:dyDescent="0.15">
      <c r="B540" s="8" t="s">
        <v>1616</v>
      </c>
      <c r="G540" s="1081">
        <f t="shared" ca="1" si="187"/>
        <v>6.2454405475455103E-3</v>
      </c>
      <c r="H540" s="1081">
        <f t="shared" ca="1" si="187"/>
        <v>6.2454405475455103E-3</v>
      </c>
      <c r="I540" s="1081">
        <f t="shared" ca="1" si="187"/>
        <v>6.2454405475455103E-3</v>
      </c>
      <c r="J540" s="1081">
        <f t="shared" ca="1" si="187"/>
        <v>6.2454405475455103E-3</v>
      </c>
      <c r="K540" s="1081">
        <f t="shared" ca="1" si="187"/>
        <v>6.2454405475455103E-3</v>
      </c>
      <c r="L540" s="1081">
        <f t="shared" ca="1" si="187"/>
        <v>6.2454405475455103E-3</v>
      </c>
      <c r="M540" s="1081">
        <f t="shared" ca="1" si="187"/>
        <v>6.2454405475455103E-3</v>
      </c>
    </row>
    <row r="541" spans="2:16" outlineLevel="1" x14ac:dyDescent="0.15">
      <c r="B541" s="8" t="s">
        <v>1617</v>
      </c>
      <c r="G541" s="1081">
        <f t="shared" ca="1" si="187"/>
        <v>1.2977435213421972E-2</v>
      </c>
      <c r="H541" s="1081">
        <f t="shared" ca="1" si="187"/>
        <v>1.2977435213421972E-2</v>
      </c>
      <c r="I541" s="1081">
        <f t="shared" ca="1" si="187"/>
        <v>1.2977435213421972E-2</v>
      </c>
      <c r="J541" s="1081">
        <f t="shared" ca="1" si="187"/>
        <v>1.2977435213421972E-2</v>
      </c>
      <c r="K541" s="1081">
        <f t="shared" ca="1" si="187"/>
        <v>1.2977435213421972E-2</v>
      </c>
      <c r="L541" s="1081">
        <f t="shared" ca="1" si="187"/>
        <v>1.2977435213421972E-2</v>
      </c>
      <c r="M541" s="1081">
        <f t="shared" ca="1" si="187"/>
        <v>1.2977435213421972E-2</v>
      </c>
    </row>
    <row r="542" spans="2:16" outlineLevel="1" x14ac:dyDescent="0.15">
      <c r="B542" s="8" t="s">
        <v>1618</v>
      </c>
      <c r="G542" s="1081">
        <f t="shared" ca="1" si="187"/>
        <v>5.344646876477413E-3</v>
      </c>
      <c r="H542" s="1081">
        <f t="shared" ca="1" si="187"/>
        <v>5.344646876477413E-3</v>
      </c>
      <c r="I542" s="1081">
        <f t="shared" ca="1" si="187"/>
        <v>5.344646876477413E-3</v>
      </c>
      <c r="J542" s="1081">
        <f t="shared" ca="1" si="187"/>
        <v>5.344646876477413E-3</v>
      </c>
      <c r="K542" s="1081">
        <f t="shared" ca="1" si="187"/>
        <v>5.344646876477413E-3</v>
      </c>
      <c r="L542" s="1081">
        <f t="shared" ca="1" si="187"/>
        <v>5.344646876477413E-3</v>
      </c>
      <c r="M542" s="1081">
        <f t="shared" ca="1" si="187"/>
        <v>5.344646876477413E-3</v>
      </c>
    </row>
    <row r="543" spans="2:16" outlineLevel="1" x14ac:dyDescent="0.15">
      <c r="B543" s="8" t="s">
        <v>1619</v>
      </c>
      <c r="G543" s="1081">
        <f t="shared" ca="1" si="187"/>
        <v>3.4019615582849064E-2</v>
      </c>
      <c r="H543" s="1081">
        <f t="shared" ca="1" si="187"/>
        <v>3.4019615582849064E-2</v>
      </c>
      <c r="I543" s="1081">
        <f t="shared" ca="1" si="187"/>
        <v>3.4019615582849064E-2</v>
      </c>
      <c r="J543" s="1081">
        <f t="shared" ca="1" si="187"/>
        <v>3.4019615582849064E-2</v>
      </c>
      <c r="K543" s="1081">
        <f t="shared" ca="1" si="187"/>
        <v>3.4019615582849064E-2</v>
      </c>
      <c r="L543" s="1081">
        <f t="shared" ca="1" si="187"/>
        <v>3.4019615582849064E-2</v>
      </c>
      <c r="M543" s="1081">
        <f t="shared" ca="1" si="187"/>
        <v>3.4019615582849064E-2</v>
      </c>
    </row>
    <row r="544" spans="2:16" outlineLevel="1" x14ac:dyDescent="0.15">
      <c r="B544" s="8" t="s">
        <v>1620</v>
      </c>
      <c r="G544" s="1081">
        <f t="shared" ca="1" si="187"/>
        <v>4.0500176030783319E-2</v>
      </c>
      <c r="H544" s="1081">
        <f t="shared" ca="1" si="187"/>
        <v>4.0500176030783319E-2</v>
      </c>
      <c r="I544" s="1081">
        <f t="shared" ca="1" si="187"/>
        <v>4.0500176030783319E-2</v>
      </c>
      <c r="J544" s="1081">
        <f t="shared" ca="1" si="187"/>
        <v>4.0500176030783319E-2</v>
      </c>
      <c r="K544" s="1081">
        <f t="shared" ca="1" si="187"/>
        <v>4.0500176030783319E-2</v>
      </c>
      <c r="L544" s="1081">
        <f t="shared" ca="1" si="187"/>
        <v>4.0500176030783319E-2</v>
      </c>
      <c r="M544" s="1081">
        <f t="shared" ca="1" si="187"/>
        <v>4.0500176030783319E-2</v>
      </c>
    </row>
    <row r="545" spans="2:13" outlineLevel="1" x14ac:dyDescent="0.15">
      <c r="B545" s="8" t="s">
        <v>1621</v>
      </c>
      <c r="G545" s="1081">
        <f t="shared" ca="1" si="187"/>
        <v>3.9926701921425327E-2</v>
      </c>
      <c r="H545" s="1081">
        <f t="shared" ca="1" si="187"/>
        <v>3.9926701921425327E-2</v>
      </c>
      <c r="I545" s="1081">
        <f t="shared" ca="1" si="187"/>
        <v>3.9926701921425327E-2</v>
      </c>
      <c r="J545" s="1081">
        <f t="shared" ca="1" si="187"/>
        <v>3.9926701921425327E-2</v>
      </c>
      <c r="K545" s="1081">
        <f t="shared" ca="1" si="187"/>
        <v>3.9926701921425327E-2</v>
      </c>
      <c r="L545" s="1081">
        <f t="shared" ca="1" si="187"/>
        <v>3.9926701921425327E-2</v>
      </c>
      <c r="M545" s="1081">
        <f t="shared" ca="1" si="187"/>
        <v>3.9926701921425327E-2</v>
      </c>
    </row>
    <row r="546" spans="2:13" outlineLevel="1" x14ac:dyDescent="0.15">
      <c r="B546" s="8" t="s">
        <v>1622</v>
      </c>
      <c r="G546" s="1081">
        <f t="shared" ca="1" si="187"/>
        <v>0</v>
      </c>
      <c r="H546" s="1081">
        <f t="shared" ca="1" si="187"/>
        <v>0</v>
      </c>
      <c r="I546" s="1081">
        <f t="shared" ca="1" si="187"/>
        <v>0</v>
      </c>
      <c r="J546" s="1081">
        <f t="shared" ca="1" si="187"/>
        <v>0</v>
      </c>
      <c r="K546" s="1081">
        <f t="shared" ca="1" si="187"/>
        <v>0</v>
      </c>
      <c r="L546" s="1081">
        <f t="shared" ca="1" si="187"/>
        <v>0</v>
      </c>
      <c r="M546" s="1081">
        <f t="shared" ca="1" si="187"/>
        <v>0</v>
      </c>
    </row>
    <row r="547" spans="2:13" outlineLevel="1" x14ac:dyDescent="0.15">
      <c r="B547" s="8" t="s">
        <v>1623</v>
      </c>
      <c r="G547" s="1081">
        <f t="shared" ca="1" si="187"/>
        <v>0.65726677544332668</v>
      </c>
      <c r="H547" s="1081">
        <f t="shared" ca="1" si="187"/>
        <v>0.65726677544332668</v>
      </c>
      <c r="I547" s="1081">
        <f t="shared" ca="1" si="187"/>
        <v>0.65726677544332668</v>
      </c>
      <c r="J547" s="1081">
        <f t="shared" ca="1" si="187"/>
        <v>0.65726677544332668</v>
      </c>
      <c r="K547" s="1081">
        <f t="shared" ca="1" si="187"/>
        <v>0.65726677544332668</v>
      </c>
      <c r="L547" s="1081">
        <f t="shared" ca="1" si="187"/>
        <v>0.65726677544332668</v>
      </c>
      <c r="M547" s="1081">
        <f t="shared" ca="1" si="187"/>
        <v>0.65726677544332668</v>
      </c>
    </row>
    <row r="548" spans="2:13" outlineLevel="1" x14ac:dyDescent="0.15">
      <c r="B548" s="8"/>
      <c r="G548" s="1081"/>
      <c r="H548" s="1081"/>
      <c r="I548" s="1081"/>
      <c r="J548" s="1081"/>
      <c r="K548" s="1081"/>
      <c r="L548" s="1081"/>
      <c r="M548" s="1081"/>
    </row>
    <row r="549" spans="2:13" ht="14" outlineLevel="1" x14ac:dyDescent="0.15">
      <c r="B549" s="507" t="s">
        <v>1573</v>
      </c>
      <c r="G549" s="1081"/>
      <c r="H549" s="1081"/>
      <c r="I549" s="1081"/>
      <c r="J549" s="1081"/>
      <c r="K549" s="1081"/>
      <c r="L549" s="1081"/>
      <c r="M549" s="1081"/>
    </row>
    <row r="550" spans="2:13" outlineLevel="1" x14ac:dyDescent="0.15">
      <c r="B550" s="225" t="s">
        <v>1501</v>
      </c>
      <c r="G550" s="1081"/>
      <c r="H550" s="1081"/>
      <c r="I550" s="1081"/>
      <c r="J550" s="1081"/>
      <c r="K550" s="1081"/>
      <c r="L550" s="1081"/>
      <c r="M550" s="1081"/>
    </row>
    <row r="551" spans="2:13" outlineLevel="1" x14ac:dyDescent="0.15">
      <c r="B551" s="8" t="s">
        <v>1574</v>
      </c>
      <c r="G551" s="1081">
        <f t="shared" ref="G551:M554" ca="1" si="188">G202/G$531</f>
        <v>3.4875937788898421E-3</v>
      </c>
      <c r="H551" s="1081">
        <f t="shared" ca="1" si="188"/>
        <v>3.4875937788898421E-3</v>
      </c>
      <c r="I551" s="1081">
        <f t="shared" ca="1" si="188"/>
        <v>3.4875937788898421E-3</v>
      </c>
      <c r="J551" s="1081">
        <f t="shared" ca="1" si="188"/>
        <v>3.4875937788898421E-3</v>
      </c>
      <c r="K551" s="1081">
        <f t="shared" ca="1" si="188"/>
        <v>3.4875937788898421E-3</v>
      </c>
      <c r="L551" s="1081">
        <f t="shared" ca="1" si="188"/>
        <v>3.4875937788898421E-3</v>
      </c>
      <c r="M551" s="1081">
        <f t="shared" ca="1" si="188"/>
        <v>3.4875937788898421E-3</v>
      </c>
    </row>
    <row r="552" spans="2:13" outlineLevel="1" x14ac:dyDescent="0.15">
      <c r="B552" s="8" t="s">
        <v>1575</v>
      </c>
      <c r="G552" s="1081">
        <f t="shared" ca="1" si="188"/>
        <v>7.375212715910965E-3</v>
      </c>
      <c r="H552" s="1081">
        <f t="shared" ca="1" si="188"/>
        <v>7.375212715910965E-3</v>
      </c>
      <c r="I552" s="1081">
        <f t="shared" ca="1" si="188"/>
        <v>7.375212715910965E-3</v>
      </c>
      <c r="J552" s="1081">
        <f t="shared" ca="1" si="188"/>
        <v>7.375212715910965E-3</v>
      </c>
      <c r="K552" s="1081">
        <f t="shared" ca="1" si="188"/>
        <v>7.375212715910965E-3</v>
      </c>
      <c r="L552" s="1081">
        <f t="shared" ca="1" si="188"/>
        <v>7.375212715910965E-3</v>
      </c>
      <c r="M552" s="1081">
        <f t="shared" ca="1" si="188"/>
        <v>7.375212715910965E-3</v>
      </c>
    </row>
    <row r="553" spans="2:13" outlineLevel="1" x14ac:dyDescent="0.15">
      <c r="B553" s="8" t="s">
        <v>1576</v>
      </c>
      <c r="G553" s="1081">
        <f t="shared" ca="1" si="188"/>
        <v>9.5063009797689575E-3</v>
      </c>
      <c r="H553" s="1081">
        <f t="shared" ca="1" si="188"/>
        <v>9.5063009797689575E-3</v>
      </c>
      <c r="I553" s="1081">
        <f t="shared" ca="1" si="188"/>
        <v>9.5063009797689575E-3</v>
      </c>
      <c r="J553" s="1081">
        <f t="shared" ca="1" si="188"/>
        <v>9.5063009797689575E-3</v>
      </c>
      <c r="K553" s="1081">
        <f t="shared" ca="1" si="188"/>
        <v>9.5063009797689575E-3</v>
      </c>
      <c r="L553" s="1081">
        <f t="shared" ca="1" si="188"/>
        <v>9.5063009797689575E-3</v>
      </c>
      <c r="M553" s="1081">
        <f t="shared" ca="1" si="188"/>
        <v>9.5063009797689575E-3</v>
      </c>
    </row>
    <row r="554" spans="2:13" outlineLevel="1" x14ac:dyDescent="0.15">
      <c r="B554" s="8" t="s">
        <v>1577</v>
      </c>
      <c r="G554" s="1081">
        <f t="shared" ca="1" si="188"/>
        <v>2.0369107474569766E-2</v>
      </c>
      <c r="H554" s="1081">
        <f t="shared" ca="1" si="188"/>
        <v>2.0369107474569766E-2</v>
      </c>
      <c r="I554" s="1081">
        <f t="shared" ca="1" si="188"/>
        <v>2.0369107474569766E-2</v>
      </c>
      <c r="J554" s="1081">
        <f t="shared" ca="1" si="188"/>
        <v>2.0369107474569766E-2</v>
      </c>
      <c r="K554" s="1081">
        <f t="shared" ca="1" si="188"/>
        <v>2.0369107474569766E-2</v>
      </c>
      <c r="L554" s="1081">
        <f t="shared" ca="1" si="188"/>
        <v>2.0369107474569766E-2</v>
      </c>
      <c r="M554" s="1081">
        <f t="shared" ca="1" si="188"/>
        <v>2.0369107474569766E-2</v>
      </c>
    </row>
    <row r="555" spans="2:13" outlineLevel="1" x14ac:dyDescent="0.15">
      <c r="B555" s="8"/>
      <c r="G555" s="1081"/>
      <c r="H555" s="1081"/>
      <c r="I555" s="1081"/>
      <c r="J555" s="1081"/>
      <c r="K555" s="1081"/>
      <c r="L555" s="1081"/>
      <c r="M555" s="1081"/>
    </row>
    <row r="556" spans="2:13" outlineLevel="1" x14ac:dyDescent="0.15">
      <c r="B556" s="1082" t="s">
        <v>1502</v>
      </c>
      <c r="G556" s="1081"/>
      <c r="H556" s="1081"/>
      <c r="I556" s="1081"/>
      <c r="J556" s="1081"/>
      <c r="K556" s="1081"/>
      <c r="L556" s="1081"/>
      <c r="M556" s="1081"/>
    </row>
    <row r="557" spans="2:13" outlineLevel="1" x14ac:dyDescent="0.15">
      <c r="B557" s="247" t="s">
        <v>1578</v>
      </c>
      <c r="G557" s="1081">
        <f t="shared" ref="G557:M565" ca="1" si="189">G208/G$531</f>
        <v>0</v>
      </c>
      <c r="H557" s="1081">
        <f t="shared" ca="1" si="189"/>
        <v>0</v>
      </c>
      <c r="I557" s="1081">
        <f t="shared" ca="1" si="189"/>
        <v>0</v>
      </c>
      <c r="J557" s="1081">
        <f t="shared" ca="1" si="189"/>
        <v>0</v>
      </c>
      <c r="K557" s="1081">
        <f t="shared" ca="1" si="189"/>
        <v>0</v>
      </c>
      <c r="L557" s="1081">
        <f t="shared" ca="1" si="189"/>
        <v>0</v>
      </c>
      <c r="M557" s="1081">
        <f t="shared" ca="1" si="189"/>
        <v>0</v>
      </c>
    </row>
    <row r="558" spans="2:13" outlineLevel="1" x14ac:dyDescent="0.15">
      <c r="B558" s="8" t="s">
        <v>1579</v>
      </c>
      <c r="G558" s="1081">
        <f t="shared" ca="1" si="189"/>
        <v>7.8324552937325299E-3</v>
      </c>
      <c r="H558" s="1081">
        <f t="shared" ca="1" si="189"/>
        <v>7.8324552937325299E-3</v>
      </c>
      <c r="I558" s="1081">
        <f t="shared" ca="1" si="189"/>
        <v>7.8324552937325299E-3</v>
      </c>
      <c r="J558" s="1081">
        <f t="shared" ca="1" si="189"/>
        <v>7.8324552937325299E-3</v>
      </c>
      <c r="K558" s="1081">
        <f t="shared" ca="1" si="189"/>
        <v>7.8324552937325299E-3</v>
      </c>
      <c r="L558" s="1081">
        <f t="shared" ca="1" si="189"/>
        <v>7.8324552937325299E-3</v>
      </c>
      <c r="M558" s="1081">
        <f t="shared" ca="1" si="189"/>
        <v>7.8324552937325299E-3</v>
      </c>
    </row>
    <row r="559" spans="2:13" outlineLevel="1" x14ac:dyDescent="0.15">
      <c r="B559" s="8" t="s">
        <v>1580</v>
      </c>
      <c r="G559" s="1081">
        <f t="shared" ca="1" si="189"/>
        <v>4.1843454456716549E-2</v>
      </c>
      <c r="H559" s="1081">
        <f t="shared" ca="1" si="189"/>
        <v>4.1843454456716549E-2</v>
      </c>
      <c r="I559" s="1081">
        <f t="shared" ca="1" si="189"/>
        <v>4.1843454456716549E-2</v>
      </c>
      <c r="J559" s="1081">
        <f t="shared" ca="1" si="189"/>
        <v>4.1843454456716549E-2</v>
      </c>
      <c r="K559" s="1081">
        <f t="shared" ca="1" si="189"/>
        <v>4.1843454456716549E-2</v>
      </c>
      <c r="L559" s="1081">
        <f t="shared" ca="1" si="189"/>
        <v>4.1843454456716549E-2</v>
      </c>
      <c r="M559" s="1081">
        <f t="shared" ca="1" si="189"/>
        <v>4.1843454456716549E-2</v>
      </c>
    </row>
    <row r="560" spans="2:13" outlineLevel="1" x14ac:dyDescent="0.15">
      <c r="B560" s="8" t="s">
        <v>1581</v>
      </c>
      <c r="G560" s="1081">
        <f t="shared" ca="1" si="189"/>
        <v>7.1405935047862638E-3</v>
      </c>
      <c r="H560" s="1081">
        <f t="shared" ca="1" si="189"/>
        <v>7.1405935047862638E-3</v>
      </c>
      <c r="I560" s="1081">
        <f t="shared" ca="1" si="189"/>
        <v>7.1405935047862638E-3</v>
      </c>
      <c r="J560" s="1081">
        <f t="shared" ca="1" si="189"/>
        <v>7.1405935047862638E-3</v>
      </c>
      <c r="K560" s="1081">
        <f t="shared" ca="1" si="189"/>
        <v>7.1405935047862638E-3</v>
      </c>
      <c r="L560" s="1081">
        <f t="shared" ca="1" si="189"/>
        <v>7.1405935047862638E-3</v>
      </c>
      <c r="M560" s="1081">
        <f t="shared" ca="1" si="189"/>
        <v>7.1405935047862638E-3</v>
      </c>
    </row>
    <row r="561" spans="2:13" outlineLevel="1" x14ac:dyDescent="0.15">
      <c r="B561" s="9" t="s">
        <v>1582</v>
      </c>
      <c r="G561" s="1081">
        <f t="shared" ca="1" si="189"/>
        <v>1.6588568081099984E-3</v>
      </c>
      <c r="H561" s="1081">
        <f t="shared" ca="1" si="189"/>
        <v>1.6588568081099984E-3</v>
      </c>
      <c r="I561" s="1081">
        <f t="shared" ca="1" si="189"/>
        <v>1.6588568081099984E-3</v>
      </c>
      <c r="J561" s="1081">
        <f t="shared" ca="1" si="189"/>
        <v>1.6588568081099984E-3</v>
      </c>
      <c r="K561" s="1081">
        <f t="shared" ca="1" si="189"/>
        <v>1.6588568081099984E-3</v>
      </c>
      <c r="L561" s="1081">
        <f t="shared" ca="1" si="189"/>
        <v>1.6588568081099984E-3</v>
      </c>
      <c r="M561" s="1081">
        <f t="shared" ca="1" si="189"/>
        <v>1.6588568081099984E-3</v>
      </c>
    </row>
    <row r="562" spans="2:13" outlineLevel="1" x14ac:dyDescent="0.15">
      <c r="B562" s="8" t="s">
        <v>1583</v>
      </c>
      <c r="G562" s="1081">
        <f t="shared" ca="1" si="189"/>
        <v>1.3589026675692318E-3</v>
      </c>
      <c r="H562" s="1081">
        <f t="shared" ca="1" si="189"/>
        <v>1.3589026675692318E-3</v>
      </c>
      <c r="I562" s="1081">
        <f t="shared" ca="1" si="189"/>
        <v>1.3589026675692318E-3</v>
      </c>
      <c r="J562" s="1081">
        <f t="shared" ca="1" si="189"/>
        <v>1.3589026675692318E-3</v>
      </c>
      <c r="K562" s="1081">
        <f t="shared" ca="1" si="189"/>
        <v>1.3589026675692318E-3</v>
      </c>
      <c r="L562" s="1081">
        <f t="shared" ca="1" si="189"/>
        <v>1.3589026675692318E-3</v>
      </c>
      <c r="M562" s="1081">
        <f t="shared" ca="1" si="189"/>
        <v>1.3589026675692318E-3</v>
      </c>
    </row>
    <row r="563" spans="2:13" outlineLevel="1" x14ac:dyDescent="0.15">
      <c r="B563" s="8" t="s">
        <v>1584</v>
      </c>
      <c r="G563" s="1081">
        <f t="shared" ca="1" si="189"/>
        <v>6.2278239690226889E-3</v>
      </c>
      <c r="H563" s="1081">
        <f t="shared" ca="1" si="189"/>
        <v>6.2278239690226889E-3</v>
      </c>
      <c r="I563" s="1081">
        <f t="shared" ca="1" si="189"/>
        <v>6.2278239690226889E-3</v>
      </c>
      <c r="J563" s="1081">
        <f t="shared" ca="1" si="189"/>
        <v>6.2278239690226889E-3</v>
      </c>
      <c r="K563" s="1081">
        <f t="shared" ca="1" si="189"/>
        <v>6.2278239690226889E-3</v>
      </c>
      <c r="L563" s="1081">
        <f t="shared" ca="1" si="189"/>
        <v>6.2278239690226889E-3</v>
      </c>
      <c r="M563" s="1081">
        <f t="shared" ca="1" si="189"/>
        <v>6.2278239690226889E-3</v>
      </c>
    </row>
    <row r="564" spans="2:13" outlineLevel="1" x14ac:dyDescent="0.15">
      <c r="B564" s="8" t="s">
        <v>1585</v>
      </c>
      <c r="G564" s="1081">
        <f t="shared" ca="1" si="189"/>
        <v>8.6897302666666659E-4</v>
      </c>
      <c r="H564" s="1081">
        <f t="shared" ca="1" si="189"/>
        <v>8.6897302666666659E-4</v>
      </c>
      <c r="I564" s="1081">
        <f t="shared" ca="1" si="189"/>
        <v>8.6897302666666659E-4</v>
      </c>
      <c r="J564" s="1081">
        <f t="shared" ca="1" si="189"/>
        <v>8.6897302666666659E-4</v>
      </c>
      <c r="K564" s="1081">
        <f t="shared" ca="1" si="189"/>
        <v>8.6897302666666659E-4</v>
      </c>
      <c r="L564" s="1081">
        <f t="shared" ca="1" si="189"/>
        <v>8.6897302666666659E-4</v>
      </c>
      <c r="M564" s="1081">
        <f t="shared" ca="1" si="189"/>
        <v>8.6897302666666659E-4</v>
      </c>
    </row>
    <row r="565" spans="2:13" outlineLevel="1" x14ac:dyDescent="0.15">
      <c r="B565" s="247" t="s">
        <v>1586</v>
      </c>
      <c r="G565" s="1081">
        <f t="shared" ca="1" si="189"/>
        <v>6.6931059726603917E-2</v>
      </c>
      <c r="H565" s="1081">
        <f t="shared" ca="1" si="189"/>
        <v>6.6931059726603917E-2</v>
      </c>
      <c r="I565" s="1081">
        <f t="shared" ca="1" si="189"/>
        <v>6.6931059726603917E-2</v>
      </c>
      <c r="J565" s="1081">
        <f t="shared" ca="1" si="189"/>
        <v>6.6931059726603917E-2</v>
      </c>
      <c r="K565" s="1081">
        <f t="shared" ca="1" si="189"/>
        <v>6.6931059726603917E-2</v>
      </c>
      <c r="L565" s="1081">
        <f t="shared" ca="1" si="189"/>
        <v>6.6931059726603917E-2</v>
      </c>
      <c r="M565" s="1081">
        <f t="shared" ca="1" si="189"/>
        <v>6.6931059726603917E-2</v>
      </c>
    </row>
    <row r="566" spans="2:13" outlineLevel="1" x14ac:dyDescent="0.15">
      <c r="B566" s="247"/>
      <c r="G566" s="1081"/>
      <c r="H566" s="1081"/>
      <c r="I566" s="1081"/>
      <c r="J566" s="1081"/>
      <c r="K566" s="1081"/>
      <c r="L566" s="1081"/>
      <c r="M566" s="1081"/>
    </row>
    <row r="567" spans="2:13" outlineLevel="1" x14ac:dyDescent="0.15">
      <c r="B567" s="1082" t="s">
        <v>1503</v>
      </c>
      <c r="G567" s="1081"/>
      <c r="H567" s="1081"/>
      <c r="I567" s="1081"/>
      <c r="J567" s="1081"/>
      <c r="K567" s="1081"/>
      <c r="L567" s="1081"/>
      <c r="M567" s="1081"/>
    </row>
    <row r="568" spans="2:13" outlineLevel="1" x14ac:dyDescent="0.15">
      <c r="B568" s="247" t="s">
        <v>1587</v>
      </c>
      <c r="G568" s="1081">
        <f t="shared" ref="G568:M581" ca="1" si="190">G219/G$531</f>
        <v>0</v>
      </c>
      <c r="H568" s="1081">
        <f t="shared" ca="1" si="190"/>
        <v>0</v>
      </c>
      <c r="I568" s="1081">
        <f t="shared" ca="1" si="190"/>
        <v>0</v>
      </c>
      <c r="J568" s="1081">
        <f t="shared" ca="1" si="190"/>
        <v>0</v>
      </c>
      <c r="K568" s="1081">
        <f t="shared" ca="1" si="190"/>
        <v>0</v>
      </c>
      <c r="L568" s="1081">
        <f t="shared" ca="1" si="190"/>
        <v>0</v>
      </c>
      <c r="M568" s="1081">
        <f t="shared" ca="1" si="190"/>
        <v>0</v>
      </c>
    </row>
    <row r="569" spans="2:13" outlineLevel="1" x14ac:dyDescent="0.15">
      <c r="B569" s="9" t="s">
        <v>1588</v>
      </c>
      <c r="G569" s="1081">
        <f t="shared" ca="1" si="190"/>
        <v>6.0394074345941004E-3</v>
      </c>
      <c r="H569" s="1081">
        <f t="shared" ca="1" si="190"/>
        <v>6.0394074345941004E-3</v>
      </c>
      <c r="I569" s="1081">
        <f t="shared" ca="1" si="190"/>
        <v>6.0394074345941004E-3</v>
      </c>
      <c r="J569" s="1081">
        <f t="shared" ca="1" si="190"/>
        <v>6.0394074345941004E-3</v>
      </c>
      <c r="K569" s="1081">
        <f t="shared" ca="1" si="190"/>
        <v>6.0394074345941004E-3</v>
      </c>
      <c r="L569" s="1081">
        <f t="shared" ca="1" si="190"/>
        <v>6.0394074345941004E-3</v>
      </c>
      <c r="M569" s="1081">
        <f t="shared" ca="1" si="190"/>
        <v>6.0394074345941004E-3</v>
      </c>
    </row>
    <row r="570" spans="2:13" outlineLevel="1" x14ac:dyDescent="0.15">
      <c r="B570" s="8" t="s">
        <v>1146</v>
      </c>
      <c r="G570" s="1081">
        <f t="shared" ca="1" si="190"/>
        <v>2.7807136853333331E-4</v>
      </c>
      <c r="H570" s="1081">
        <f t="shared" ca="1" si="190"/>
        <v>2.7807136853333331E-4</v>
      </c>
      <c r="I570" s="1081">
        <f t="shared" ca="1" si="190"/>
        <v>2.7807136853333331E-4</v>
      </c>
      <c r="J570" s="1081">
        <f t="shared" ca="1" si="190"/>
        <v>2.7807136853333331E-4</v>
      </c>
      <c r="K570" s="1081">
        <f t="shared" ca="1" si="190"/>
        <v>2.7807136853333331E-4</v>
      </c>
      <c r="L570" s="1081">
        <f t="shared" ca="1" si="190"/>
        <v>2.7807136853333331E-4</v>
      </c>
      <c r="M570" s="1081">
        <f t="shared" ca="1" si="190"/>
        <v>2.7807136853333331E-4</v>
      </c>
    </row>
    <row r="571" spans="2:13" outlineLevel="1" x14ac:dyDescent="0.15">
      <c r="B571" s="8" t="s">
        <v>1589</v>
      </c>
      <c r="G571" s="1081">
        <f t="shared" ca="1" si="190"/>
        <v>1.6701682801574618E-3</v>
      </c>
      <c r="H571" s="1081">
        <f t="shared" ca="1" si="190"/>
        <v>1.6701682801574618E-3</v>
      </c>
      <c r="I571" s="1081">
        <f t="shared" ca="1" si="190"/>
        <v>1.6701682801574618E-3</v>
      </c>
      <c r="J571" s="1081">
        <f t="shared" ca="1" si="190"/>
        <v>1.6701682801574618E-3</v>
      </c>
      <c r="K571" s="1081">
        <f t="shared" ca="1" si="190"/>
        <v>1.6701682801574618E-3</v>
      </c>
      <c r="L571" s="1081">
        <f t="shared" ca="1" si="190"/>
        <v>1.6701682801574618E-3</v>
      </c>
      <c r="M571" s="1081">
        <f t="shared" ca="1" si="190"/>
        <v>1.6701682801574618E-3</v>
      </c>
    </row>
    <row r="572" spans="2:13" outlineLevel="1" x14ac:dyDescent="0.15">
      <c r="B572" s="8" t="s">
        <v>1148</v>
      </c>
      <c r="G572" s="1081">
        <f t="shared" ca="1" si="190"/>
        <v>8.4989184304832188E-4</v>
      </c>
      <c r="H572" s="1081">
        <f t="shared" ca="1" si="190"/>
        <v>8.4989184304832188E-4</v>
      </c>
      <c r="I572" s="1081">
        <f t="shared" ca="1" si="190"/>
        <v>8.4989184304832188E-4</v>
      </c>
      <c r="J572" s="1081">
        <f t="shared" ca="1" si="190"/>
        <v>8.4989184304832188E-4</v>
      </c>
      <c r="K572" s="1081">
        <f t="shared" ca="1" si="190"/>
        <v>8.4989184304832188E-4</v>
      </c>
      <c r="L572" s="1081">
        <f t="shared" ca="1" si="190"/>
        <v>8.4989184304832188E-4</v>
      </c>
      <c r="M572" s="1081">
        <f t="shared" ca="1" si="190"/>
        <v>8.4989184304832188E-4</v>
      </c>
    </row>
    <row r="573" spans="2:13" outlineLevel="1" x14ac:dyDescent="0.15">
      <c r="B573" s="8" t="s">
        <v>1590</v>
      </c>
      <c r="G573" s="1081">
        <f t="shared" ca="1" si="190"/>
        <v>4.9598626749668886E-3</v>
      </c>
      <c r="H573" s="1081">
        <f t="shared" ca="1" si="190"/>
        <v>4.9598626749668886E-3</v>
      </c>
      <c r="I573" s="1081">
        <f t="shared" ca="1" si="190"/>
        <v>4.9598626749668886E-3</v>
      </c>
      <c r="J573" s="1081">
        <f t="shared" ca="1" si="190"/>
        <v>4.9598626749668886E-3</v>
      </c>
      <c r="K573" s="1081">
        <f t="shared" ca="1" si="190"/>
        <v>4.9598626749668886E-3</v>
      </c>
      <c r="L573" s="1081">
        <f t="shared" ca="1" si="190"/>
        <v>4.9598626749668886E-3</v>
      </c>
      <c r="M573" s="1081">
        <f t="shared" ca="1" si="190"/>
        <v>4.9598626749668886E-3</v>
      </c>
    </row>
    <row r="574" spans="2:13" outlineLevel="1" x14ac:dyDescent="0.15">
      <c r="B574" s="8" t="s">
        <v>1150</v>
      </c>
      <c r="G574" s="1081">
        <f t="shared" ca="1" si="190"/>
        <v>8.0274608981233369E-4</v>
      </c>
      <c r="H574" s="1081">
        <f t="shared" ca="1" si="190"/>
        <v>8.0274608981233369E-4</v>
      </c>
      <c r="I574" s="1081">
        <f t="shared" ca="1" si="190"/>
        <v>8.0274608981233369E-4</v>
      </c>
      <c r="J574" s="1081">
        <f t="shared" ca="1" si="190"/>
        <v>8.0274608981233369E-4</v>
      </c>
      <c r="K574" s="1081">
        <f t="shared" ca="1" si="190"/>
        <v>8.0274608981233369E-4</v>
      </c>
      <c r="L574" s="1081">
        <f t="shared" ca="1" si="190"/>
        <v>8.0274608981233369E-4</v>
      </c>
      <c r="M574" s="1081">
        <f t="shared" ca="1" si="190"/>
        <v>8.0274608981233369E-4</v>
      </c>
    </row>
    <row r="575" spans="2:13" outlineLevel="1" x14ac:dyDescent="0.15">
      <c r="B575" s="8" t="s">
        <v>1151</v>
      </c>
      <c r="G575" s="1081">
        <f t="shared" ca="1" si="190"/>
        <v>4.8560107916072176E-4</v>
      </c>
      <c r="H575" s="1081">
        <f t="shared" ca="1" si="190"/>
        <v>4.8560107916072176E-4</v>
      </c>
      <c r="I575" s="1081">
        <f t="shared" ca="1" si="190"/>
        <v>4.8560107916072176E-4</v>
      </c>
      <c r="J575" s="1081">
        <f t="shared" ca="1" si="190"/>
        <v>4.8560107916072176E-4</v>
      </c>
      <c r="K575" s="1081">
        <f t="shared" ca="1" si="190"/>
        <v>4.8560107916072176E-4</v>
      </c>
      <c r="L575" s="1081">
        <f t="shared" ca="1" si="190"/>
        <v>4.8560107916072176E-4</v>
      </c>
      <c r="M575" s="1081">
        <f t="shared" ca="1" si="190"/>
        <v>4.8560107916072176E-4</v>
      </c>
    </row>
    <row r="576" spans="2:13" outlineLevel="1" x14ac:dyDescent="0.15">
      <c r="B576" s="8" t="s">
        <v>1591</v>
      </c>
      <c r="G576" s="1081">
        <f t="shared" ca="1" si="190"/>
        <v>1.9825731637747989E-3</v>
      </c>
      <c r="H576" s="1081">
        <f t="shared" ca="1" si="190"/>
        <v>1.9825731637747989E-3</v>
      </c>
      <c r="I576" s="1081">
        <f t="shared" ca="1" si="190"/>
        <v>1.9825731637747989E-3</v>
      </c>
      <c r="J576" s="1081">
        <f t="shared" ca="1" si="190"/>
        <v>1.9825731637747989E-3</v>
      </c>
      <c r="K576" s="1081">
        <f t="shared" ca="1" si="190"/>
        <v>1.9825731637747989E-3</v>
      </c>
      <c r="L576" s="1081">
        <f t="shared" ca="1" si="190"/>
        <v>1.9825731637747989E-3</v>
      </c>
      <c r="M576" s="1081">
        <f t="shared" ca="1" si="190"/>
        <v>1.9825731637747989E-3</v>
      </c>
    </row>
    <row r="577" spans="2:13" outlineLevel="1" x14ac:dyDescent="0.15">
      <c r="B577" s="8" t="s">
        <v>1592</v>
      </c>
      <c r="G577" s="1081">
        <f t="shared" ca="1" si="190"/>
        <v>1.029630090375468E-2</v>
      </c>
      <c r="H577" s="1081">
        <f t="shared" ca="1" si="190"/>
        <v>1.029630090375468E-2</v>
      </c>
      <c r="I577" s="1081">
        <f t="shared" ca="1" si="190"/>
        <v>1.029630090375468E-2</v>
      </c>
      <c r="J577" s="1081">
        <f t="shared" ca="1" si="190"/>
        <v>1.029630090375468E-2</v>
      </c>
      <c r="K577" s="1081">
        <f t="shared" ca="1" si="190"/>
        <v>1.029630090375468E-2</v>
      </c>
      <c r="L577" s="1081">
        <f t="shared" ca="1" si="190"/>
        <v>1.029630090375468E-2</v>
      </c>
      <c r="M577" s="1081">
        <f t="shared" ca="1" si="190"/>
        <v>1.029630090375468E-2</v>
      </c>
    </row>
    <row r="578" spans="2:13" outlineLevel="1" x14ac:dyDescent="0.15">
      <c r="B578" s="8" t="s">
        <v>1155</v>
      </c>
      <c r="G578" s="1081">
        <f t="shared" ca="1" si="190"/>
        <v>1.6293177944385518E-3</v>
      </c>
      <c r="H578" s="1081">
        <f t="shared" ca="1" si="190"/>
        <v>1.6293177944385518E-3</v>
      </c>
      <c r="I578" s="1081">
        <f t="shared" ca="1" si="190"/>
        <v>1.6293177944385518E-3</v>
      </c>
      <c r="J578" s="1081">
        <f t="shared" ca="1" si="190"/>
        <v>1.6293177944385518E-3</v>
      </c>
      <c r="K578" s="1081">
        <f t="shared" ca="1" si="190"/>
        <v>1.6293177944385518E-3</v>
      </c>
      <c r="L578" s="1081">
        <f t="shared" ca="1" si="190"/>
        <v>1.6293177944385518E-3</v>
      </c>
      <c r="M578" s="1081">
        <f t="shared" ca="1" si="190"/>
        <v>1.6293177944385518E-3</v>
      </c>
    </row>
    <row r="579" spans="2:13" outlineLevel="1" x14ac:dyDescent="0.15">
      <c r="B579" s="8" t="s">
        <v>1156</v>
      </c>
      <c r="G579" s="1081">
        <f t="shared" ca="1" si="190"/>
        <v>6.9517842133333327E-3</v>
      </c>
      <c r="H579" s="1081">
        <f t="shared" ca="1" si="190"/>
        <v>6.9517842133333327E-3</v>
      </c>
      <c r="I579" s="1081">
        <f t="shared" ca="1" si="190"/>
        <v>6.9517842133333327E-3</v>
      </c>
      <c r="J579" s="1081">
        <f t="shared" ca="1" si="190"/>
        <v>6.9517842133333327E-3</v>
      </c>
      <c r="K579" s="1081">
        <f t="shared" ca="1" si="190"/>
        <v>6.9517842133333327E-3</v>
      </c>
      <c r="L579" s="1081">
        <f t="shared" ca="1" si="190"/>
        <v>6.9517842133333327E-3</v>
      </c>
      <c r="M579" s="1081">
        <f t="shared" ca="1" si="190"/>
        <v>6.9517842133333327E-3</v>
      </c>
    </row>
    <row r="580" spans="2:13" outlineLevel="1" x14ac:dyDescent="0.15">
      <c r="B580" s="8" t="s">
        <v>1157</v>
      </c>
      <c r="G580" s="1081">
        <f t="shared" ca="1" si="190"/>
        <v>1.7379460533333332E-3</v>
      </c>
      <c r="H580" s="1081">
        <f t="shared" ca="1" si="190"/>
        <v>1.7379460533333332E-3</v>
      </c>
      <c r="I580" s="1081">
        <f t="shared" ca="1" si="190"/>
        <v>1.7379460533333332E-3</v>
      </c>
      <c r="J580" s="1081">
        <f t="shared" ca="1" si="190"/>
        <v>1.7379460533333332E-3</v>
      </c>
      <c r="K580" s="1081">
        <f t="shared" ca="1" si="190"/>
        <v>1.7379460533333332E-3</v>
      </c>
      <c r="L580" s="1081">
        <f t="shared" ca="1" si="190"/>
        <v>1.7379460533333332E-3</v>
      </c>
      <c r="M580" s="1081">
        <f t="shared" ca="1" si="190"/>
        <v>1.7379460533333332E-3</v>
      </c>
    </row>
    <row r="581" spans="2:13" outlineLevel="1" x14ac:dyDescent="0.15">
      <c r="B581" s="8" t="s">
        <v>1593</v>
      </c>
      <c r="G581" s="1081">
        <f t="shared" ca="1" si="190"/>
        <v>3.7683670898907853E-2</v>
      </c>
      <c r="H581" s="1081">
        <f t="shared" ca="1" si="190"/>
        <v>3.7683670898907853E-2</v>
      </c>
      <c r="I581" s="1081">
        <f t="shared" ca="1" si="190"/>
        <v>3.7683670898907853E-2</v>
      </c>
      <c r="J581" s="1081">
        <f t="shared" ca="1" si="190"/>
        <v>3.7683670898907853E-2</v>
      </c>
      <c r="K581" s="1081">
        <f t="shared" ca="1" si="190"/>
        <v>3.7683670898907853E-2</v>
      </c>
      <c r="L581" s="1081">
        <f t="shared" ca="1" si="190"/>
        <v>3.7683670898907853E-2</v>
      </c>
      <c r="M581" s="1081">
        <f t="shared" ca="1" si="190"/>
        <v>3.7683670898907853E-2</v>
      </c>
    </row>
    <row r="582" spans="2:13" outlineLevel="1" x14ac:dyDescent="0.15">
      <c r="B582" s="8"/>
      <c r="G582" s="1081"/>
      <c r="H582" s="1081"/>
      <c r="I582" s="1081"/>
      <c r="J582" s="1081"/>
      <c r="K582" s="1081"/>
      <c r="L582" s="1081"/>
      <c r="M582" s="1081"/>
    </row>
    <row r="583" spans="2:13" outlineLevel="1" x14ac:dyDescent="0.15">
      <c r="B583" s="1082" t="s">
        <v>1668</v>
      </c>
      <c r="G583" s="1081"/>
      <c r="H583" s="1081"/>
      <c r="I583" s="1081"/>
      <c r="J583" s="1081"/>
      <c r="K583" s="1081"/>
      <c r="L583" s="1081"/>
      <c r="M583" s="1081"/>
    </row>
    <row r="584" spans="2:13" outlineLevel="1" x14ac:dyDescent="0.15">
      <c r="B584" s="8" t="s">
        <v>1595</v>
      </c>
      <c r="G584" s="1081">
        <f t="shared" ref="G584:M584" ca="1" si="191">G235/G$531</f>
        <v>0.12498383810008154</v>
      </c>
      <c r="H584" s="1081">
        <f t="shared" ca="1" si="191"/>
        <v>0.12498383810008154</v>
      </c>
      <c r="I584" s="1081">
        <f t="shared" ca="1" si="191"/>
        <v>0.12498383810008154</v>
      </c>
      <c r="J584" s="1081">
        <f t="shared" ca="1" si="191"/>
        <v>0.12498383810008154</v>
      </c>
      <c r="K584" s="1081">
        <f t="shared" ca="1" si="191"/>
        <v>0.12498383810008154</v>
      </c>
      <c r="L584" s="1081">
        <f t="shared" ca="1" si="191"/>
        <v>0.12498383810008154</v>
      </c>
      <c r="M584" s="1081">
        <f t="shared" ca="1" si="191"/>
        <v>0.12498383810008154</v>
      </c>
    </row>
    <row r="585" spans="2:13" outlineLevel="1" x14ac:dyDescent="0.15">
      <c r="G585" s="1081"/>
      <c r="H585" s="1081"/>
      <c r="I585" s="1081"/>
      <c r="J585" s="1081"/>
      <c r="K585" s="1081"/>
      <c r="L585" s="1081"/>
      <c r="M585" s="1081"/>
    </row>
    <row r="586" spans="2:13" ht="14" outlineLevel="1" x14ac:dyDescent="0.15">
      <c r="B586" s="507" t="s">
        <v>1712</v>
      </c>
      <c r="G586" s="1081"/>
      <c r="H586" s="1081"/>
      <c r="I586" s="1081"/>
      <c r="J586" s="1081"/>
      <c r="K586" s="1081"/>
      <c r="L586" s="1081"/>
      <c r="M586" s="1081"/>
    </row>
    <row r="587" spans="2:13" outlineLevel="1" x14ac:dyDescent="0.15">
      <c r="B587" s="8" t="s">
        <v>1670</v>
      </c>
      <c r="G587" s="1081">
        <f t="shared" ref="G587:M587" ca="1" si="192">G238/G$531</f>
        <v>0.78225061354340819</v>
      </c>
      <c r="H587" s="1081">
        <f t="shared" ca="1" si="192"/>
        <v>0.78225061354340819</v>
      </c>
      <c r="I587" s="1081">
        <f t="shared" ca="1" si="192"/>
        <v>0.78225061354340819</v>
      </c>
      <c r="J587" s="1081">
        <f t="shared" ca="1" si="192"/>
        <v>0.78225061354340819</v>
      </c>
      <c r="K587" s="1081">
        <f t="shared" ca="1" si="192"/>
        <v>0.78225061354340819</v>
      </c>
      <c r="L587" s="1081">
        <f t="shared" ca="1" si="192"/>
        <v>0.78225061354340819</v>
      </c>
      <c r="M587" s="1081">
        <f t="shared" ca="1" si="192"/>
        <v>0.78225061354340819</v>
      </c>
    </row>
    <row r="588" spans="2:13" outlineLevel="1" x14ac:dyDescent="0.15">
      <c r="B588" s="8"/>
      <c r="G588" s="1081"/>
      <c r="H588" s="1081"/>
      <c r="I588" s="1081"/>
      <c r="J588" s="1081"/>
      <c r="K588" s="1081"/>
      <c r="L588" s="1081"/>
      <c r="M588" s="1081"/>
    </row>
    <row r="589" spans="2:13" ht="14" outlineLevel="1" x14ac:dyDescent="0.15">
      <c r="B589" s="507" t="s">
        <v>25</v>
      </c>
      <c r="G589" s="1081"/>
      <c r="H589" s="1081"/>
      <c r="I589" s="1081"/>
      <c r="J589" s="1081"/>
      <c r="K589" s="1081"/>
      <c r="L589" s="1081"/>
      <c r="M589" s="1081"/>
    </row>
    <row r="590" spans="2:13" outlineLevel="1" x14ac:dyDescent="0.15">
      <c r="B590" s="8" t="s">
        <v>1504</v>
      </c>
      <c r="G590" s="1081">
        <f t="shared" ref="G590:M590" ca="1" si="193">G241/G$531</f>
        <v>3.079404910859191E-2</v>
      </c>
      <c r="H590" s="1081">
        <f t="shared" ca="1" si="193"/>
        <v>3.079404910859191E-2</v>
      </c>
      <c r="I590" s="1081">
        <f t="shared" ca="1" si="193"/>
        <v>3.079404910859191E-2</v>
      </c>
      <c r="J590" s="1081">
        <f t="shared" ca="1" si="193"/>
        <v>3.079404910859191E-2</v>
      </c>
      <c r="K590" s="1081">
        <f t="shared" ca="1" si="193"/>
        <v>3.079404910859191E-2</v>
      </c>
      <c r="L590" s="1081">
        <f t="shared" ca="1" si="193"/>
        <v>3.079404910859191E-2</v>
      </c>
      <c r="M590" s="1081">
        <f t="shared" ca="1" si="193"/>
        <v>3.079404910859191E-2</v>
      </c>
    </row>
    <row r="591" spans="2:13" outlineLevel="1" x14ac:dyDescent="0.15">
      <c r="B591" s="8"/>
      <c r="G591" s="1081"/>
      <c r="H591" s="1081"/>
      <c r="I591" s="1081"/>
      <c r="J591" s="1081"/>
      <c r="K591" s="1081"/>
      <c r="L591" s="1081"/>
      <c r="M591" s="1081"/>
    </row>
    <row r="592" spans="2:13" ht="16" outlineLevel="1" x14ac:dyDescent="0.2">
      <c r="B592" s="5" t="s">
        <v>1671</v>
      </c>
      <c r="C592" s="26"/>
      <c r="D592" s="26"/>
      <c r="E592" s="26"/>
      <c r="F592" s="26"/>
      <c r="G592" s="1081"/>
      <c r="H592" s="1081"/>
      <c r="I592" s="1081"/>
      <c r="J592" s="1081"/>
      <c r="K592" s="1081"/>
      <c r="L592" s="1081"/>
      <c r="M592" s="1081"/>
    </row>
    <row r="593" spans="2:13" ht="14" outlineLevel="1" x14ac:dyDescent="0.15">
      <c r="B593" s="507" t="s">
        <v>1169</v>
      </c>
      <c r="C593" s="8"/>
      <c r="D593" s="26"/>
      <c r="E593" s="26"/>
      <c r="F593" s="26"/>
      <c r="G593" s="1081"/>
      <c r="H593" s="1081"/>
      <c r="I593" s="1081"/>
      <c r="J593" s="1081"/>
      <c r="K593" s="1081"/>
      <c r="L593" s="1081"/>
      <c r="M593" s="1081"/>
    </row>
    <row r="594" spans="2:13" outlineLevel="1" x14ac:dyDescent="0.15">
      <c r="B594" s="225" t="s">
        <v>1672</v>
      </c>
      <c r="D594" s="26"/>
      <c r="E594" s="26"/>
      <c r="F594" s="26"/>
      <c r="G594" s="1081"/>
      <c r="H594" s="1081"/>
      <c r="I594" s="1081"/>
      <c r="J594" s="1081"/>
      <c r="K594" s="1081"/>
      <c r="L594" s="1081"/>
      <c r="M594" s="1081"/>
    </row>
    <row r="595" spans="2:13" outlineLevel="1" x14ac:dyDescent="0.15">
      <c r="C595" s="8" t="s">
        <v>1673</v>
      </c>
      <c r="D595" s="26"/>
      <c r="E595" s="26"/>
      <c r="F595" s="26"/>
      <c r="G595" s="1081">
        <f ca="1">G246/G$531</f>
        <v>1.9075905969033044E-3</v>
      </c>
      <c r="H595" s="1081">
        <f t="shared" ref="H595:M595" ca="1" si="194">H246/H$531</f>
        <v>1.9075905969033044E-3</v>
      </c>
      <c r="I595" s="1081">
        <f t="shared" ca="1" si="194"/>
        <v>1.9075905969033044E-3</v>
      </c>
      <c r="J595" s="1081">
        <f t="shared" ca="1" si="194"/>
        <v>1.9075905969033044E-3</v>
      </c>
      <c r="K595" s="1081">
        <f t="shared" ca="1" si="194"/>
        <v>1.9075905969033044E-3</v>
      </c>
      <c r="L595" s="1081">
        <f t="shared" ca="1" si="194"/>
        <v>1.9075905969033044E-3</v>
      </c>
      <c r="M595" s="1081">
        <f t="shared" ca="1" si="194"/>
        <v>1.9075905969033044E-3</v>
      </c>
    </row>
    <row r="596" spans="2:13" outlineLevel="1" x14ac:dyDescent="0.15">
      <c r="C596" s="8" t="s">
        <v>1674</v>
      </c>
      <c r="D596" s="26"/>
      <c r="E596" s="26"/>
      <c r="F596" s="26"/>
      <c r="G596" s="1081">
        <f t="shared" ref="G596:M596" ca="1" si="195">G247/G$531</f>
        <v>6.9144133898183359E-3</v>
      </c>
      <c r="H596" s="1081">
        <f t="shared" ca="1" si="195"/>
        <v>6.9144133898183359E-3</v>
      </c>
      <c r="I596" s="1081">
        <f t="shared" ca="1" si="195"/>
        <v>6.9144133898183359E-3</v>
      </c>
      <c r="J596" s="1081">
        <f t="shared" ca="1" si="195"/>
        <v>6.9144133898183359E-3</v>
      </c>
      <c r="K596" s="1081">
        <f t="shared" ca="1" si="195"/>
        <v>6.9144133898183359E-3</v>
      </c>
      <c r="L596" s="1081">
        <f t="shared" ca="1" si="195"/>
        <v>6.9144133898183359E-3</v>
      </c>
      <c r="M596" s="1081">
        <f t="shared" ca="1" si="195"/>
        <v>6.9144133898183359E-3</v>
      </c>
    </row>
    <row r="597" spans="2:13" outlineLevel="1" x14ac:dyDescent="0.15">
      <c r="C597" s="8" t="s">
        <v>1675</v>
      </c>
      <c r="D597" s="26"/>
      <c r="E597" s="26"/>
      <c r="F597" s="26"/>
      <c r="G597" s="1081">
        <f t="shared" ref="G597:M597" ca="1" si="196">G248/G$531</f>
        <v>3.0593379601346373E-4</v>
      </c>
      <c r="H597" s="1081">
        <f t="shared" ca="1" si="196"/>
        <v>3.0593379601346373E-4</v>
      </c>
      <c r="I597" s="1081">
        <f t="shared" ca="1" si="196"/>
        <v>3.0593379601346373E-4</v>
      </c>
      <c r="J597" s="1081">
        <f t="shared" ca="1" si="196"/>
        <v>3.0593379601346373E-4</v>
      </c>
      <c r="K597" s="1081">
        <f t="shared" ca="1" si="196"/>
        <v>3.0593379601346373E-4</v>
      </c>
      <c r="L597" s="1081">
        <f t="shared" ca="1" si="196"/>
        <v>3.0593379601346373E-4</v>
      </c>
      <c r="M597" s="1081">
        <f t="shared" ca="1" si="196"/>
        <v>3.0593379601346373E-4</v>
      </c>
    </row>
    <row r="598" spans="2:13" outlineLevel="1" x14ac:dyDescent="0.15">
      <c r="C598" s="8" t="s">
        <v>1536</v>
      </c>
      <c r="D598" s="26"/>
      <c r="E598" s="26"/>
      <c r="F598" s="26"/>
      <c r="G598" s="1081">
        <f t="shared" ref="G598:M598" ca="1" si="197">G249/G$531</f>
        <v>4.3349945546170812E-4</v>
      </c>
      <c r="H598" s="1081">
        <f t="shared" ca="1" si="197"/>
        <v>4.3349945546170812E-4</v>
      </c>
      <c r="I598" s="1081">
        <f t="shared" ca="1" si="197"/>
        <v>4.3349945546170812E-4</v>
      </c>
      <c r="J598" s="1081">
        <f t="shared" ca="1" si="197"/>
        <v>4.3349945546170812E-4</v>
      </c>
      <c r="K598" s="1081">
        <f t="shared" ca="1" si="197"/>
        <v>4.3349945546170812E-4</v>
      </c>
      <c r="L598" s="1081">
        <f t="shared" ca="1" si="197"/>
        <v>4.3349945546170812E-4</v>
      </c>
      <c r="M598" s="1081">
        <f t="shared" ca="1" si="197"/>
        <v>4.3349945546170812E-4</v>
      </c>
    </row>
    <row r="599" spans="2:13" outlineLevel="1" x14ac:dyDescent="0.15">
      <c r="C599" s="8" t="s">
        <v>1676</v>
      </c>
      <c r="D599" s="26"/>
      <c r="E599" s="26"/>
      <c r="F599" s="26"/>
      <c r="G599" s="1081">
        <f t="shared" ref="G599:M599" ca="1" si="198">G250/G$531</f>
        <v>9.561437238196812E-3</v>
      </c>
      <c r="H599" s="1081">
        <f t="shared" ca="1" si="198"/>
        <v>9.561437238196812E-3</v>
      </c>
      <c r="I599" s="1081">
        <f t="shared" ca="1" si="198"/>
        <v>9.561437238196812E-3</v>
      </c>
      <c r="J599" s="1081">
        <f t="shared" ca="1" si="198"/>
        <v>9.561437238196812E-3</v>
      </c>
      <c r="K599" s="1081">
        <f t="shared" ca="1" si="198"/>
        <v>9.561437238196812E-3</v>
      </c>
      <c r="L599" s="1081">
        <f t="shared" ca="1" si="198"/>
        <v>9.561437238196812E-3</v>
      </c>
      <c r="M599" s="1081">
        <f t="shared" ca="1" si="198"/>
        <v>9.561437238196812E-3</v>
      </c>
    </row>
    <row r="600" spans="2:13" outlineLevel="1" x14ac:dyDescent="0.15">
      <c r="C600" s="8"/>
      <c r="D600" s="26"/>
      <c r="E600" s="26"/>
      <c r="F600" s="26"/>
      <c r="G600" s="1081"/>
      <c r="H600" s="1081"/>
      <c r="I600" s="1081"/>
      <c r="J600" s="1081"/>
      <c r="K600" s="1081"/>
      <c r="L600" s="1081"/>
      <c r="M600" s="1081"/>
    </row>
    <row r="601" spans="2:13" outlineLevel="1" x14ac:dyDescent="0.15">
      <c r="B601" s="225" t="s">
        <v>1677</v>
      </c>
      <c r="D601" s="26"/>
      <c r="E601" s="26"/>
      <c r="F601" s="26"/>
      <c r="G601" s="1081"/>
      <c r="H601" s="1081"/>
      <c r="I601" s="1081"/>
      <c r="J601" s="1081"/>
      <c r="K601" s="1081"/>
      <c r="L601" s="1081"/>
      <c r="M601" s="1081"/>
    </row>
    <row r="602" spans="2:13" outlineLevel="1" x14ac:dyDescent="0.15">
      <c r="C602" s="8" t="s">
        <v>1673</v>
      </c>
      <c r="D602" s="26"/>
      <c r="E602" s="26"/>
      <c r="F602" s="26"/>
      <c r="G602" s="1081">
        <f t="shared" ref="G602:M602" ca="1" si="199">G253/G$531</f>
        <v>1.6983252441999381E-3</v>
      </c>
      <c r="H602" s="1081">
        <f t="shared" ca="1" si="199"/>
        <v>1.6983252441999381E-3</v>
      </c>
      <c r="I602" s="1081">
        <f t="shared" ca="1" si="199"/>
        <v>1.6983252441999381E-3</v>
      </c>
      <c r="J602" s="1081">
        <f t="shared" ca="1" si="199"/>
        <v>1.6983252441999381E-3</v>
      </c>
      <c r="K602" s="1081">
        <f t="shared" ca="1" si="199"/>
        <v>1.6983252441999381E-3</v>
      </c>
      <c r="L602" s="1081">
        <f t="shared" ca="1" si="199"/>
        <v>1.6983252441999381E-3</v>
      </c>
      <c r="M602" s="1081">
        <f t="shared" ca="1" si="199"/>
        <v>1.6983252441999381E-3</v>
      </c>
    </row>
    <row r="603" spans="2:13" outlineLevel="1" x14ac:dyDescent="0.15">
      <c r="C603" s="8" t="s">
        <v>1674</v>
      </c>
      <c r="D603" s="26"/>
      <c r="E603" s="26"/>
      <c r="F603" s="26"/>
      <c r="G603" s="1081">
        <f t="shared" ref="G603:M603" ca="1" si="200">G254/G$531</f>
        <v>6.4357058832603224E-3</v>
      </c>
      <c r="H603" s="1081">
        <f t="shared" ca="1" si="200"/>
        <v>6.4357058832603224E-3</v>
      </c>
      <c r="I603" s="1081">
        <f t="shared" ca="1" si="200"/>
        <v>6.4357058832603224E-3</v>
      </c>
      <c r="J603" s="1081">
        <f t="shared" ca="1" si="200"/>
        <v>6.4357058832603224E-3</v>
      </c>
      <c r="K603" s="1081">
        <f t="shared" ca="1" si="200"/>
        <v>6.4357058832603224E-3</v>
      </c>
      <c r="L603" s="1081">
        <f t="shared" ca="1" si="200"/>
        <v>6.4357058832603224E-3</v>
      </c>
      <c r="M603" s="1081">
        <f t="shared" ca="1" si="200"/>
        <v>6.4357058832603224E-3</v>
      </c>
    </row>
    <row r="604" spans="2:13" outlineLevel="1" x14ac:dyDescent="0.15">
      <c r="C604" s="8" t="s">
        <v>1675</v>
      </c>
      <c r="D604" s="26"/>
      <c r="E604" s="26"/>
      <c r="F604" s="26"/>
      <c r="G604" s="1081">
        <f t="shared" ref="G604:M604" ca="1" si="201">G255/G$531</f>
        <v>2.6364406509236113E-4</v>
      </c>
      <c r="H604" s="1081">
        <f t="shared" ca="1" si="201"/>
        <v>2.6364406509236113E-4</v>
      </c>
      <c r="I604" s="1081">
        <f t="shared" ca="1" si="201"/>
        <v>2.6364406509236113E-4</v>
      </c>
      <c r="J604" s="1081">
        <f t="shared" ca="1" si="201"/>
        <v>2.6364406509236113E-4</v>
      </c>
      <c r="K604" s="1081">
        <f t="shared" ca="1" si="201"/>
        <v>2.6364406509236113E-4</v>
      </c>
      <c r="L604" s="1081">
        <f t="shared" ca="1" si="201"/>
        <v>2.6364406509236113E-4</v>
      </c>
      <c r="M604" s="1081">
        <f t="shared" ca="1" si="201"/>
        <v>2.6364406509236113E-4</v>
      </c>
    </row>
    <row r="605" spans="2:13" outlineLevel="1" x14ac:dyDescent="0.15">
      <c r="C605" s="8" t="s">
        <v>1536</v>
      </c>
      <c r="D605" s="26"/>
      <c r="E605" s="26"/>
      <c r="F605" s="26"/>
      <c r="G605" s="1081">
        <f t="shared" ref="G605:M605" ca="1" si="202">G256/G$531</f>
        <v>4.3047423990084807E-4</v>
      </c>
      <c r="H605" s="1081">
        <f t="shared" ca="1" si="202"/>
        <v>4.3047423990084807E-4</v>
      </c>
      <c r="I605" s="1081">
        <f t="shared" ca="1" si="202"/>
        <v>4.3047423990084807E-4</v>
      </c>
      <c r="J605" s="1081">
        <f t="shared" ca="1" si="202"/>
        <v>4.3047423990084807E-4</v>
      </c>
      <c r="K605" s="1081">
        <f t="shared" ca="1" si="202"/>
        <v>4.3047423990084807E-4</v>
      </c>
      <c r="L605" s="1081">
        <f t="shared" ca="1" si="202"/>
        <v>4.3047423990084807E-4</v>
      </c>
      <c r="M605" s="1081">
        <f t="shared" ca="1" si="202"/>
        <v>4.3047423990084807E-4</v>
      </c>
    </row>
    <row r="606" spans="2:13" outlineLevel="1" x14ac:dyDescent="0.15">
      <c r="C606" s="8" t="s">
        <v>1676</v>
      </c>
      <c r="D606" s="26"/>
      <c r="E606" s="26"/>
      <c r="F606" s="26"/>
      <c r="G606" s="1081">
        <f t="shared" ref="G606:M606" ca="1" si="203">G257/G$531</f>
        <v>8.828149432453471E-3</v>
      </c>
      <c r="H606" s="1081">
        <f t="shared" ca="1" si="203"/>
        <v>8.828149432453471E-3</v>
      </c>
      <c r="I606" s="1081">
        <f t="shared" ca="1" si="203"/>
        <v>8.828149432453471E-3</v>
      </c>
      <c r="J606" s="1081">
        <f t="shared" ca="1" si="203"/>
        <v>8.828149432453471E-3</v>
      </c>
      <c r="K606" s="1081">
        <f t="shared" ca="1" si="203"/>
        <v>8.828149432453471E-3</v>
      </c>
      <c r="L606" s="1081">
        <f t="shared" ca="1" si="203"/>
        <v>8.828149432453471E-3</v>
      </c>
      <c r="M606" s="1081">
        <f t="shared" ca="1" si="203"/>
        <v>8.828149432453471E-3</v>
      </c>
    </row>
    <row r="607" spans="2:13" outlineLevel="1" x14ac:dyDescent="0.15">
      <c r="C607" s="8"/>
      <c r="D607" s="26"/>
      <c r="E607" s="26"/>
      <c r="F607" s="26"/>
      <c r="G607" s="1081"/>
      <c r="H607" s="1081"/>
      <c r="I607" s="1081"/>
      <c r="J607" s="1081"/>
      <c r="K607" s="1081"/>
      <c r="L607" s="1081"/>
      <c r="M607" s="1081"/>
    </row>
    <row r="608" spans="2:13" outlineLevel="1" x14ac:dyDescent="0.15">
      <c r="B608" s="225" t="s">
        <v>1678</v>
      </c>
      <c r="D608" s="26"/>
      <c r="E608" s="26"/>
      <c r="F608" s="26"/>
      <c r="G608" s="1081"/>
      <c r="H608" s="1081"/>
      <c r="I608" s="1081"/>
      <c r="J608" s="1081"/>
      <c r="K608" s="1081"/>
      <c r="L608" s="1081"/>
      <c r="M608" s="1081"/>
    </row>
    <row r="609" spans="2:13" outlineLevel="1" x14ac:dyDescent="0.15">
      <c r="C609" s="8" t="s">
        <v>1673</v>
      </c>
      <c r="D609" s="26"/>
      <c r="E609" s="26"/>
      <c r="F609" s="26"/>
      <c r="G609" s="1081">
        <f t="shared" ref="G609:M609" ca="1" si="204">G260/G$531</f>
        <v>3.6059158411032425E-3</v>
      </c>
      <c r="H609" s="1081">
        <f t="shared" ca="1" si="204"/>
        <v>3.6059158411032425E-3</v>
      </c>
      <c r="I609" s="1081">
        <f t="shared" ca="1" si="204"/>
        <v>3.6059158411032425E-3</v>
      </c>
      <c r="J609" s="1081">
        <f t="shared" ca="1" si="204"/>
        <v>3.6059158411032425E-3</v>
      </c>
      <c r="K609" s="1081">
        <f t="shared" ca="1" si="204"/>
        <v>3.6059158411032425E-3</v>
      </c>
      <c r="L609" s="1081">
        <f t="shared" ca="1" si="204"/>
        <v>3.6059158411032425E-3</v>
      </c>
      <c r="M609" s="1081">
        <f t="shared" ca="1" si="204"/>
        <v>3.6059158411032425E-3</v>
      </c>
    </row>
    <row r="610" spans="2:13" outlineLevel="1" x14ac:dyDescent="0.15">
      <c r="C610" s="8" t="s">
        <v>1674</v>
      </c>
      <c r="D610" s="26"/>
      <c r="E610" s="26"/>
      <c r="F610" s="26"/>
      <c r="G610" s="1081">
        <f t="shared" ref="G610:M610" ca="1" si="205">G261/G$531</f>
        <v>1.3350119273078659E-2</v>
      </c>
      <c r="H610" s="1081">
        <f t="shared" ca="1" si="205"/>
        <v>1.3350119273078659E-2</v>
      </c>
      <c r="I610" s="1081">
        <f t="shared" ca="1" si="205"/>
        <v>1.3350119273078659E-2</v>
      </c>
      <c r="J610" s="1081">
        <f t="shared" ca="1" si="205"/>
        <v>1.3350119273078659E-2</v>
      </c>
      <c r="K610" s="1081">
        <f t="shared" ca="1" si="205"/>
        <v>1.3350119273078659E-2</v>
      </c>
      <c r="L610" s="1081">
        <f t="shared" ca="1" si="205"/>
        <v>1.3350119273078659E-2</v>
      </c>
      <c r="M610" s="1081">
        <f t="shared" ca="1" si="205"/>
        <v>1.3350119273078659E-2</v>
      </c>
    </row>
    <row r="611" spans="2:13" outlineLevel="1" x14ac:dyDescent="0.15">
      <c r="C611" s="8" t="s">
        <v>1675</v>
      </c>
      <c r="D611" s="26"/>
      <c r="E611" s="26"/>
      <c r="F611" s="26"/>
      <c r="G611" s="1081">
        <f t="shared" ref="G611:M611" ca="1" si="206">G262/G$531</f>
        <v>5.6957786110582492E-4</v>
      </c>
      <c r="H611" s="1081">
        <f t="shared" ca="1" si="206"/>
        <v>5.6957786110582492E-4</v>
      </c>
      <c r="I611" s="1081">
        <f t="shared" ca="1" si="206"/>
        <v>5.6957786110582492E-4</v>
      </c>
      <c r="J611" s="1081">
        <f t="shared" ca="1" si="206"/>
        <v>5.6957786110582492E-4</v>
      </c>
      <c r="K611" s="1081">
        <f t="shared" ca="1" si="206"/>
        <v>5.6957786110582492E-4</v>
      </c>
      <c r="L611" s="1081">
        <f t="shared" ca="1" si="206"/>
        <v>5.6957786110582492E-4</v>
      </c>
      <c r="M611" s="1081">
        <f t="shared" ca="1" si="206"/>
        <v>5.6957786110582492E-4</v>
      </c>
    </row>
    <row r="612" spans="2:13" outlineLevel="1" x14ac:dyDescent="0.15">
      <c r="C612" s="8" t="s">
        <v>1536</v>
      </c>
      <c r="D612" s="26"/>
      <c r="E612" s="26"/>
      <c r="F612" s="26"/>
      <c r="G612" s="1081">
        <f t="shared" ref="G612:M612" ca="1" si="207">G263/G$531</f>
        <v>8.6397369536255614E-4</v>
      </c>
      <c r="H612" s="1081">
        <f t="shared" ca="1" si="207"/>
        <v>8.6397369536255614E-4</v>
      </c>
      <c r="I612" s="1081">
        <f t="shared" ca="1" si="207"/>
        <v>8.6397369536255614E-4</v>
      </c>
      <c r="J612" s="1081">
        <f t="shared" ca="1" si="207"/>
        <v>8.6397369536255614E-4</v>
      </c>
      <c r="K612" s="1081">
        <f t="shared" ca="1" si="207"/>
        <v>8.6397369536255614E-4</v>
      </c>
      <c r="L612" s="1081">
        <f t="shared" ca="1" si="207"/>
        <v>8.6397369536255614E-4</v>
      </c>
      <c r="M612" s="1081">
        <f t="shared" ca="1" si="207"/>
        <v>8.6397369536255614E-4</v>
      </c>
    </row>
    <row r="613" spans="2:13" outlineLevel="1" x14ac:dyDescent="0.15">
      <c r="C613" s="8" t="s">
        <v>1676</v>
      </c>
      <c r="D613" s="26"/>
      <c r="E613" s="26"/>
      <c r="F613" s="26"/>
      <c r="G613" s="1081">
        <f t="shared" ref="G613:M613" ca="1" si="208">G264/G$531</f>
        <v>1.8389586670650285E-2</v>
      </c>
      <c r="H613" s="1081">
        <f t="shared" ca="1" si="208"/>
        <v>1.8389586670650285E-2</v>
      </c>
      <c r="I613" s="1081">
        <f t="shared" ca="1" si="208"/>
        <v>1.8389586670650285E-2</v>
      </c>
      <c r="J613" s="1081">
        <f t="shared" ca="1" si="208"/>
        <v>1.8389586670650285E-2</v>
      </c>
      <c r="K613" s="1081">
        <f t="shared" ca="1" si="208"/>
        <v>1.8389586670650285E-2</v>
      </c>
      <c r="L613" s="1081">
        <f t="shared" ca="1" si="208"/>
        <v>1.8389586670650285E-2</v>
      </c>
      <c r="M613" s="1081">
        <f t="shared" ca="1" si="208"/>
        <v>1.8389586670650285E-2</v>
      </c>
    </row>
    <row r="614" spans="2:13" outlineLevel="1" x14ac:dyDescent="0.15">
      <c r="C614" s="8"/>
      <c r="D614" s="26"/>
      <c r="E614" s="26"/>
      <c r="F614" s="26"/>
      <c r="G614" s="1081"/>
      <c r="H614" s="1081"/>
      <c r="I614" s="1081"/>
      <c r="J614" s="1081"/>
      <c r="K614" s="1081"/>
      <c r="L614" s="1081"/>
      <c r="M614" s="1081"/>
    </row>
    <row r="615" spans="2:13" ht="14" outlineLevel="1" x14ac:dyDescent="0.15">
      <c r="B615" s="507" t="s">
        <v>1178</v>
      </c>
      <c r="D615" s="26"/>
      <c r="E615" s="26"/>
      <c r="F615" s="26"/>
      <c r="G615" s="1081"/>
      <c r="H615" s="1081"/>
      <c r="I615" s="1081"/>
      <c r="J615" s="1081"/>
      <c r="K615" s="1081"/>
      <c r="L615" s="1081"/>
      <c r="M615" s="1081"/>
    </row>
    <row r="616" spans="2:13" outlineLevel="1" x14ac:dyDescent="0.15">
      <c r="B616" s="225" t="s">
        <v>1179</v>
      </c>
      <c r="D616" s="26"/>
      <c r="E616" s="26"/>
      <c r="F616" s="26"/>
      <c r="G616" s="1081"/>
      <c r="H616" s="1081"/>
      <c r="I616" s="1081"/>
      <c r="J616" s="1081"/>
      <c r="K616" s="1081"/>
      <c r="L616" s="1081"/>
      <c r="M616" s="1081"/>
    </row>
    <row r="617" spans="2:13" outlineLevel="1" x14ac:dyDescent="0.15">
      <c r="C617" s="8" t="s">
        <v>1673</v>
      </c>
      <c r="D617" s="26"/>
      <c r="E617" s="26"/>
      <c r="F617" s="26"/>
      <c r="G617" s="1081">
        <f t="shared" ref="G617:M617" ca="1" si="209">G268/G$531</f>
        <v>3.8648141585363895E-4</v>
      </c>
      <c r="H617" s="1081">
        <f t="shared" ca="1" si="209"/>
        <v>3.8648141585363895E-4</v>
      </c>
      <c r="I617" s="1081">
        <f t="shared" ca="1" si="209"/>
        <v>3.8648141585363895E-4</v>
      </c>
      <c r="J617" s="1081">
        <f t="shared" ca="1" si="209"/>
        <v>3.8648141585363895E-4</v>
      </c>
      <c r="K617" s="1081">
        <f t="shared" ca="1" si="209"/>
        <v>3.8648141585363895E-4</v>
      </c>
      <c r="L617" s="1081">
        <f t="shared" ca="1" si="209"/>
        <v>3.8648141585363895E-4</v>
      </c>
      <c r="M617" s="1081">
        <f t="shared" ca="1" si="209"/>
        <v>3.8648141585363895E-4</v>
      </c>
    </row>
    <row r="618" spans="2:13" outlineLevel="1" x14ac:dyDescent="0.15">
      <c r="C618" s="8" t="s">
        <v>1674</v>
      </c>
      <c r="D618" s="26"/>
      <c r="E618" s="26"/>
      <c r="F618" s="26"/>
      <c r="G618" s="1081">
        <f t="shared" ref="G618:M618" ca="1" si="210">G269/G$531</f>
        <v>2.5888097476106575E-3</v>
      </c>
      <c r="H618" s="1081">
        <f t="shared" ca="1" si="210"/>
        <v>2.5888097476106575E-3</v>
      </c>
      <c r="I618" s="1081">
        <f t="shared" ca="1" si="210"/>
        <v>2.5888097476106575E-3</v>
      </c>
      <c r="J618" s="1081">
        <f t="shared" ca="1" si="210"/>
        <v>2.5888097476106575E-3</v>
      </c>
      <c r="K618" s="1081">
        <f t="shared" ca="1" si="210"/>
        <v>2.5888097476106575E-3</v>
      </c>
      <c r="L618" s="1081">
        <f t="shared" ca="1" si="210"/>
        <v>2.5888097476106575E-3</v>
      </c>
      <c r="M618" s="1081">
        <f t="shared" ca="1" si="210"/>
        <v>2.5888097476106575E-3</v>
      </c>
    </row>
    <row r="619" spans="2:13" outlineLevel="1" x14ac:dyDescent="0.15">
      <c r="C619" s="8" t="s">
        <v>1675</v>
      </c>
      <c r="D619" s="26"/>
      <c r="E619" s="26"/>
      <c r="F619" s="26"/>
      <c r="G619" s="1081">
        <f t="shared" ref="G619:M619" ca="1" si="211">G270/G$531</f>
        <v>3.8551538518509921E-4</v>
      </c>
      <c r="H619" s="1081">
        <f t="shared" ca="1" si="211"/>
        <v>3.8551538518509921E-4</v>
      </c>
      <c r="I619" s="1081">
        <f t="shared" ca="1" si="211"/>
        <v>3.8551538518509921E-4</v>
      </c>
      <c r="J619" s="1081">
        <f t="shared" ca="1" si="211"/>
        <v>3.8551538518509921E-4</v>
      </c>
      <c r="K619" s="1081">
        <f t="shared" ca="1" si="211"/>
        <v>3.8551538518509921E-4</v>
      </c>
      <c r="L619" s="1081">
        <f t="shared" ca="1" si="211"/>
        <v>3.8551538518509921E-4</v>
      </c>
      <c r="M619" s="1081">
        <f t="shared" ca="1" si="211"/>
        <v>3.8551538518509921E-4</v>
      </c>
    </row>
    <row r="620" spans="2:13" outlineLevel="1" x14ac:dyDescent="0.15">
      <c r="C620" s="8" t="s">
        <v>1536</v>
      </c>
      <c r="D620" s="26"/>
      <c r="E620" s="26"/>
      <c r="F620" s="26"/>
      <c r="G620" s="1081">
        <f t="shared" ref="G620:M620" ca="1" si="212">G271/G$531</f>
        <v>1.6347192277355459E-3</v>
      </c>
      <c r="H620" s="1081">
        <f t="shared" ca="1" si="212"/>
        <v>1.6347192277355459E-3</v>
      </c>
      <c r="I620" s="1081">
        <f t="shared" ca="1" si="212"/>
        <v>1.6347192277355459E-3</v>
      </c>
      <c r="J620" s="1081">
        <f t="shared" ca="1" si="212"/>
        <v>1.6347192277355459E-3</v>
      </c>
      <c r="K620" s="1081">
        <f t="shared" ca="1" si="212"/>
        <v>1.6347192277355459E-3</v>
      </c>
      <c r="L620" s="1081">
        <f t="shared" ca="1" si="212"/>
        <v>1.6347192277355459E-3</v>
      </c>
      <c r="M620" s="1081">
        <f t="shared" ca="1" si="212"/>
        <v>1.6347192277355459E-3</v>
      </c>
    </row>
    <row r="621" spans="2:13" outlineLevel="1" x14ac:dyDescent="0.15">
      <c r="C621" s="8" t="s">
        <v>1676</v>
      </c>
      <c r="D621" s="26"/>
      <c r="E621" s="26"/>
      <c r="F621" s="26"/>
      <c r="G621" s="1081">
        <f t="shared" ref="G621:M621" ca="1" si="213">G272/G$531</f>
        <v>4.9955257763849422E-3</v>
      </c>
      <c r="H621" s="1081">
        <f t="shared" ca="1" si="213"/>
        <v>4.9955257763849422E-3</v>
      </c>
      <c r="I621" s="1081">
        <f t="shared" ca="1" si="213"/>
        <v>4.9955257763849422E-3</v>
      </c>
      <c r="J621" s="1081">
        <f t="shared" ca="1" si="213"/>
        <v>4.9955257763849422E-3</v>
      </c>
      <c r="K621" s="1081">
        <f t="shared" ca="1" si="213"/>
        <v>4.9955257763849422E-3</v>
      </c>
      <c r="L621" s="1081">
        <f t="shared" ca="1" si="213"/>
        <v>4.9955257763849422E-3</v>
      </c>
      <c r="M621" s="1081">
        <f t="shared" ca="1" si="213"/>
        <v>4.9955257763849422E-3</v>
      </c>
    </row>
    <row r="622" spans="2:13" outlineLevel="1" x14ac:dyDescent="0.15">
      <c r="C622" s="8"/>
      <c r="D622" s="26"/>
      <c r="E622" s="26"/>
      <c r="F622" s="26"/>
      <c r="G622" s="1081"/>
      <c r="H622" s="1081"/>
      <c r="I622" s="1081"/>
      <c r="J622" s="1081"/>
      <c r="K622" s="1081"/>
      <c r="L622" s="1081"/>
      <c r="M622" s="1081"/>
    </row>
    <row r="623" spans="2:13" outlineLevel="1" x14ac:dyDescent="0.15">
      <c r="B623" s="225" t="s">
        <v>1185</v>
      </c>
      <c r="D623" s="26"/>
      <c r="E623" s="26"/>
      <c r="F623" s="26"/>
      <c r="G623" s="1081"/>
      <c r="H623" s="1081"/>
      <c r="I623" s="1081"/>
      <c r="J623" s="1081"/>
      <c r="K623" s="1081"/>
      <c r="L623" s="1081"/>
      <c r="M623" s="1081"/>
    </row>
    <row r="624" spans="2:13" outlineLevel="1" x14ac:dyDescent="0.15">
      <c r="C624" s="8" t="s">
        <v>1673</v>
      </c>
      <c r="D624" s="26"/>
      <c r="E624" s="26"/>
      <c r="F624" s="26"/>
      <c r="G624" s="1081">
        <f t="shared" ref="G624:M624" ca="1" si="214">G275/G$531</f>
        <v>3.8541441850680391E-4</v>
      </c>
      <c r="H624" s="1081">
        <f t="shared" ca="1" si="214"/>
        <v>3.8541441850680391E-4</v>
      </c>
      <c r="I624" s="1081">
        <f t="shared" ca="1" si="214"/>
        <v>3.8541441850680391E-4</v>
      </c>
      <c r="J624" s="1081">
        <f t="shared" ca="1" si="214"/>
        <v>3.8541441850680391E-4</v>
      </c>
      <c r="K624" s="1081">
        <f t="shared" ca="1" si="214"/>
        <v>3.8541441850680391E-4</v>
      </c>
      <c r="L624" s="1081">
        <f t="shared" ca="1" si="214"/>
        <v>3.8541441850680391E-4</v>
      </c>
      <c r="M624" s="1081">
        <f t="shared" ca="1" si="214"/>
        <v>3.8541441850680391E-4</v>
      </c>
    </row>
    <row r="625" spans="2:13" outlineLevel="1" x14ac:dyDescent="0.15">
      <c r="C625" s="8" t="s">
        <v>1674</v>
      </c>
      <c r="D625" s="26"/>
      <c r="E625" s="26"/>
      <c r="F625" s="26"/>
      <c r="G625" s="1081">
        <f t="shared" ref="G625:M625" ca="1" si="215">G276/G$531</f>
        <v>2.3409779639426546E-3</v>
      </c>
      <c r="H625" s="1081">
        <f t="shared" ca="1" si="215"/>
        <v>2.3409779639426546E-3</v>
      </c>
      <c r="I625" s="1081">
        <f t="shared" ca="1" si="215"/>
        <v>2.3409779639426546E-3</v>
      </c>
      <c r="J625" s="1081">
        <f t="shared" ca="1" si="215"/>
        <v>2.3409779639426546E-3</v>
      </c>
      <c r="K625" s="1081">
        <f t="shared" ca="1" si="215"/>
        <v>2.3409779639426546E-3</v>
      </c>
      <c r="L625" s="1081">
        <f t="shared" ca="1" si="215"/>
        <v>2.3409779639426546E-3</v>
      </c>
      <c r="M625" s="1081">
        <f t="shared" ca="1" si="215"/>
        <v>2.3409779639426546E-3</v>
      </c>
    </row>
    <row r="626" spans="2:13" outlineLevel="1" x14ac:dyDescent="0.15">
      <c r="C626" s="8" t="s">
        <v>1675</v>
      </c>
      <c r="D626" s="26"/>
      <c r="E626" s="26"/>
      <c r="F626" s="26"/>
      <c r="G626" s="1081">
        <f t="shared" ref="G626:M626" ca="1" si="216">G277/G$531</f>
        <v>3.8407164941352273E-4</v>
      </c>
      <c r="H626" s="1081">
        <f t="shared" ca="1" si="216"/>
        <v>3.8407164941352273E-4</v>
      </c>
      <c r="I626" s="1081">
        <f t="shared" ca="1" si="216"/>
        <v>3.8407164941352273E-4</v>
      </c>
      <c r="J626" s="1081">
        <f t="shared" ca="1" si="216"/>
        <v>3.8407164941352273E-4</v>
      </c>
      <c r="K626" s="1081">
        <f t="shared" ca="1" si="216"/>
        <v>3.8407164941352273E-4</v>
      </c>
      <c r="L626" s="1081">
        <f t="shared" ca="1" si="216"/>
        <v>3.8407164941352273E-4</v>
      </c>
      <c r="M626" s="1081">
        <f t="shared" ca="1" si="216"/>
        <v>3.8407164941352273E-4</v>
      </c>
    </row>
    <row r="627" spans="2:13" outlineLevel="1" x14ac:dyDescent="0.15">
      <c r="C627" s="8" t="s">
        <v>1536</v>
      </c>
      <c r="D627" s="26"/>
      <c r="E627" s="26"/>
      <c r="F627" s="26"/>
      <c r="G627" s="1081">
        <f t="shared" ref="G627:M627" ca="1" si="217">G278/G$531</f>
        <v>5.3468362895149428E-4</v>
      </c>
      <c r="H627" s="1081">
        <f t="shared" ca="1" si="217"/>
        <v>5.3468362895149428E-4</v>
      </c>
      <c r="I627" s="1081">
        <f t="shared" ca="1" si="217"/>
        <v>5.3468362895149428E-4</v>
      </c>
      <c r="J627" s="1081">
        <f t="shared" ca="1" si="217"/>
        <v>5.3468362895149428E-4</v>
      </c>
      <c r="K627" s="1081">
        <f t="shared" ca="1" si="217"/>
        <v>5.3468362895149428E-4</v>
      </c>
      <c r="L627" s="1081">
        <f t="shared" ca="1" si="217"/>
        <v>5.3468362895149428E-4</v>
      </c>
      <c r="M627" s="1081">
        <f t="shared" ca="1" si="217"/>
        <v>5.3468362895149428E-4</v>
      </c>
    </row>
    <row r="628" spans="2:13" outlineLevel="1" x14ac:dyDescent="0.15">
      <c r="C628" s="8" t="s">
        <v>1676</v>
      </c>
      <c r="D628" s="26"/>
      <c r="E628" s="26"/>
      <c r="F628" s="26"/>
      <c r="G628" s="1081">
        <f t="shared" ref="G628:M628" ca="1" si="218">G279/G$531</f>
        <v>3.6451476608144757E-3</v>
      </c>
      <c r="H628" s="1081">
        <f t="shared" ca="1" si="218"/>
        <v>3.6451476608144757E-3</v>
      </c>
      <c r="I628" s="1081">
        <f t="shared" ca="1" si="218"/>
        <v>3.6451476608144757E-3</v>
      </c>
      <c r="J628" s="1081">
        <f t="shared" ca="1" si="218"/>
        <v>3.6451476608144757E-3</v>
      </c>
      <c r="K628" s="1081">
        <f t="shared" ca="1" si="218"/>
        <v>3.6451476608144757E-3</v>
      </c>
      <c r="L628" s="1081">
        <f t="shared" ca="1" si="218"/>
        <v>3.6451476608144757E-3</v>
      </c>
      <c r="M628" s="1081">
        <f t="shared" ca="1" si="218"/>
        <v>3.6451476608144757E-3</v>
      </c>
    </row>
    <row r="629" spans="2:13" outlineLevel="1" x14ac:dyDescent="0.15">
      <c r="C629" s="8"/>
      <c r="D629" s="26"/>
      <c r="E629" s="26"/>
      <c r="F629" s="26"/>
      <c r="G629" s="1081"/>
      <c r="H629" s="1081"/>
      <c r="I629" s="1081"/>
      <c r="J629" s="1081"/>
      <c r="K629" s="1081"/>
      <c r="L629" s="1081"/>
      <c r="M629" s="1081"/>
    </row>
    <row r="630" spans="2:13" outlineLevel="1" x14ac:dyDescent="0.15">
      <c r="B630" s="225" t="s">
        <v>1679</v>
      </c>
      <c r="D630" s="26"/>
      <c r="E630" s="26"/>
      <c r="F630" s="26"/>
      <c r="G630" s="1081"/>
      <c r="H630" s="1081"/>
      <c r="I630" s="1081"/>
      <c r="J630" s="1081"/>
      <c r="K630" s="1081"/>
      <c r="L630" s="1081"/>
      <c r="M630" s="1081"/>
    </row>
    <row r="631" spans="2:13" outlineLevel="1" x14ac:dyDescent="0.15">
      <c r="C631" s="8" t="s">
        <v>1673</v>
      </c>
      <c r="D631" s="26"/>
      <c r="E631" s="26"/>
      <c r="F631" s="26"/>
      <c r="G631" s="1081">
        <f t="shared" ref="G631:M631" ca="1" si="219">G282/G$531</f>
        <v>7.7189583436044291E-4</v>
      </c>
      <c r="H631" s="1081">
        <f t="shared" ca="1" si="219"/>
        <v>7.7189583436044291E-4</v>
      </c>
      <c r="I631" s="1081">
        <f t="shared" ca="1" si="219"/>
        <v>7.7189583436044291E-4</v>
      </c>
      <c r="J631" s="1081">
        <f t="shared" ca="1" si="219"/>
        <v>7.7189583436044291E-4</v>
      </c>
      <c r="K631" s="1081">
        <f t="shared" ca="1" si="219"/>
        <v>7.7189583436044291E-4</v>
      </c>
      <c r="L631" s="1081">
        <f t="shared" ca="1" si="219"/>
        <v>7.7189583436044291E-4</v>
      </c>
      <c r="M631" s="1081">
        <f t="shared" ca="1" si="219"/>
        <v>7.7189583436044291E-4</v>
      </c>
    </row>
    <row r="632" spans="2:13" outlineLevel="1" x14ac:dyDescent="0.15">
      <c r="C632" s="8" t="s">
        <v>1674</v>
      </c>
      <c r="D632" s="26"/>
      <c r="E632" s="26"/>
      <c r="F632" s="26"/>
      <c r="G632" s="1081">
        <f t="shared" ref="G632:M632" ca="1" si="220">G283/G$531</f>
        <v>4.9297877115533116E-3</v>
      </c>
      <c r="H632" s="1081">
        <f t="shared" ca="1" si="220"/>
        <v>4.9297877115533116E-3</v>
      </c>
      <c r="I632" s="1081">
        <f t="shared" ca="1" si="220"/>
        <v>4.9297877115533116E-3</v>
      </c>
      <c r="J632" s="1081">
        <f t="shared" ca="1" si="220"/>
        <v>4.9297877115533116E-3</v>
      </c>
      <c r="K632" s="1081">
        <f t="shared" ca="1" si="220"/>
        <v>4.9297877115533116E-3</v>
      </c>
      <c r="L632" s="1081">
        <f t="shared" ca="1" si="220"/>
        <v>4.9297877115533116E-3</v>
      </c>
      <c r="M632" s="1081">
        <f t="shared" ca="1" si="220"/>
        <v>4.9297877115533116E-3</v>
      </c>
    </row>
    <row r="633" spans="2:13" outlineLevel="1" x14ac:dyDescent="0.15">
      <c r="C633" s="8" t="s">
        <v>1675</v>
      </c>
      <c r="D633" s="26"/>
      <c r="E633" s="26"/>
      <c r="F633" s="26"/>
      <c r="G633" s="1081">
        <f t="shared" ref="G633:M633" ca="1" si="221">G284/G$531</f>
        <v>7.69587034598622E-4</v>
      </c>
      <c r="H633" s="1081">
        <f t="shared" ca="1" si="221"/>
        <v>7.69587034598622E-4</v>
      </c>
      <c r="I633" s="1081">
        <f t="shared" ca="1" si="221"/>
        <v>7.69587034598622E-4</v>
      </c>
      <c r="J633" s="1081">
        <f t="shared" ca="1" si="221"/>
        <v>7.69587034598622E-4</v>
      </c>
      <c r="K633" s="1081">
        <f t="shared" ca="1" si="221"/>
        <v>7.69587034598622E-4</v>
      </c>
      <c r="L633" s="1081">
        <f t="shared" ca="1" si="221"/>
        <v>7.69587034598622E-4</v>
      </c>
      <c r="M633" s="1081">
        <f t="shared" ca="1" si="221"/>
        <v>7.69587034598622E-4</v>
      </c>
    </row>
    <row r="634" spans="2:13" outlineLevel="1" x14ac:dyDescent="0.15">
      <c r="C634" s="8" t="s">
        <v>1536</v>
      </c>
      <c r="D634" s="26"/>
      <c r="E634" s="26"/>
      <c r="F634" s="26"/>
      <c r="G634" s="1081">
        <f t="shared" ref="G634:M634" ca="1" si="222">G285/G$531</f>
        <v>2.1694028566870403E-3</v>
      </c>
      <c r="H634" s="1081">
        <f t="shared" ca="1" si="222"/>
        <v>2.1694028566870403E-3</v>
      </c>
      <c r="I634" s="1081">
        <f t="shared" ca="1" si="222"/>
        <v>2.1694028566870403E-3</v>
      </c>
      <c r="J634" s="1081">
        <f t="shared" ca="1" si="222"/>
        <v>2.1694028566870403E-3</v>
      </c>
      <c r="K634" s="1081">
        <f t="shared" ca="1" si="222"/>
        <v>2.1694028566870403E-3</v>
      </c>
      <c r="L634" s="1081">
        <f t="shared" ca="1" si="222"/>
        <v>2.1694028566870403E-3</v>
      </c>
      <c r="M634" s="1081">
        <f t="shared" ca="1" si="222"/>
        <v>2.1694028566870403E-3</v>
      </c>
    </row>
    <row r="635" spans="2:13" outlineLevel="1" x14ac:dyDescent="0.15">
      <c r="C635" s="8" t="s">
        <v>1676</v>
      </c>
      <c r="D635" s="26"/>
      <c r="E635" s="26"/>
      <c r="F635" s="26"/>
      <c r="G635" s="1081">
        <f t="shared" ref="G635:M635" ca="1" si="223">G286/G$531</f>
        <v>8.6406734371994171E-3</v>
      </c>
      <c r="H635" s="1081">
        <f t="shared" ca="1" si="223"/>
        <v>8.6406734371994171E-3</v>
      </c>
      <c r="I635" s="1081">
        <f t="shared" ca="1" si="223"/>
        <v>8.6406734371994171E-3</v>
      </c>
      <c r="J635" s="1081">
        <f t="shared" ca="1" si="223"/>
        <v>8.6406734371994171E-3</v>
      </c>
      <c r="K635" s="1081">
        <f t="shared" ca="1" si="223"/>
        <v>8.6406734371994171E-3</v>
      </c>
      <c r="L635" s="1081">
        <f t="shared" ca="1" si="223"/>
        <v>8.6406734371994171E-3</v>
      </c>
      <c r="M635" s="1081">
        <f t="shared" ca="1" si="223"/>
        <v>8.6406734371994171E-3</v>
      </c>
    </row>
    <row r="636" spans="2:13" outlineLevel="1" x14ac:dyDescent="0.15">
      <c r="C636" s="8"/>
      <c r="D636" s="26"/>
      <c r="E636" s="26"/>
      <c r="F636" s="26"/>
      <c r="G636" s="1081"/>
      <c r="H636" s="1081"/>
      <c r="I636" s="1081"/>
      <c r="J636" s="1081"/>
      <c r="K636" s="1081"/>
      <c r="L636" s="1081"/>
      <c r="M636" s="1081"/>
    </row>
    <row r="637" spans="2:13" ht="14" outlineLevel="1" x14ac:dyDescent="0.15">
      <c r="B637" s="507" t="s">
        <v>1187</v>
      </c>
      <c r="D637" s="26"/>
      <c r="E637" s="26"/>
      <c r="F637" s="26"/>
      <c r="G637" s="1081"/>
      <c r="H637" s="1081"/>
      <c r="I637" s="1081"/>
      <c r="J637" s="1081"/>
      <c r="K637" s="1081"/>
      <c r="L637" s="1081"/>
      <c r="M637" s="1081"/>
    </row>
    <row r="638" spans="2:13" outlineLevel="1" x14ac:dyDescent="0.15">
      <c r="B638" s="225" t="s">
        <v>1179</v>
      </c>
      <c r="D638" s="26"/>
      <c r="E638" s="26"/>
      <c r="F638" s="26"/>
      <c r="G638" s="1081"/>
      <c r="H638" s="1081"/>
      <c r="I638" s="1081"/>
      <c r="J638" s="1081"/>
      <c r="K638" s="1081"/>
      <c r="L638" s="1081"/>
      <c r="M638" s="1081"/>
    </row>
    <row r="639" spans="2:13" outlineLevel="1" x14ac:dyDescent="0.15">
      <c r="C639" s="8" t="s">
        <v>1673</v>
      </c>
      <c r="D639" s="26"/>
      <c r="E639" s="26"/>
      <c r="F639" s="26"/>
      <c r="G639" s="1081">
        <f t="shared" ref="G639:M639" ca="1" si="224">G290/G$531</f>
        <v>3.0787502618849206E-4</v>
      </c>
      <c r="H639" s="1081">
        <f t="shared" ca="1" si="224"/>
        <v>3.0787502618849206E-4</v>
      </c>
      <c r="I639" s="1081">
        <f t="shared" ca="1" si="224"/>
        <v>3.0787502618849206E-4</v>
      </c>
      <c r="J639" s="1081">
        <f t="shared" ca="1" si="224"/>
        <v>3.0787502618849206E-4</v>
      </c>
      <c r="K639" s="1081">
        <f t="shared" ca="1" si="224"/>
        <v>3.0787502618849206E-4</v>
      </c>
      <c r="L639" s="1081">
        <f t="shared" ca="1" si="224"/>
        <v>3.0787502618849206E-4</v>
      </c>
      <c r="M639" s="1081">
        <f t="shared" ca="1" si="224"/>
        <v>3.0787502618849206E-4</v>
      </c>
    </row>
    <row r="640" spans="2:13" outlineLevel="1" x14ac:dyDescent="0.15">
      <c r="C640" s="8" t="s">
        <v>1674</v>
      </c>
      <c r="D640" s="26"/>
      <c r="E640" s="26"/>
      <c r="F640" s="26"/>
      <c r="G640" s="1081">
        <f t="shared" ref="G640:M640" ca="1" si="225">G291/G$531</f>
        <v>6.9956144965706052E-4</v>
      </c>
      <c r="H640" s="1081">
        <f t="shared" ca="1" si="225"/>
        <v>6.9956144965706052E-4</v>
      </c>
      <c r="I640" s="1081">
        <f t="shared" ca="1" si="225"/>
        <v>6.9956144965706052E-4</v>
      </c>
      <c r="J640" s="1081">
        <f t="shared" ca="1" si="225"/>
        <v>6.9956144965706052E-4</v>
      </c>
      <c r="K640" s="1081">
        <f t="shared" ca="1" si="225"/>
        <v>6.9956144965706052E-4</v>
      </c>
      <c r="L640" s="1081">
        <f t="shared" ca="1" si="225"/>
        <v>6.9956144965706052E-4</v>
      </c>
      <c r="M640" s="1081">
        <f t="shared" ca="1" si="225"/>
        <v>6.9956144965706052E-4</v>
      </c>
    </row>
    <row r="641" spans="2:13" outlineLevel="1" x14ac:dyDescent="0.15">
      <c r="C641" s="8" t="s">
        <v>1675</v>
      </c>
      <c r="D641" s="26"/>
      <c r="E641" s="26"/>
      <c r="F641" s="26"/>
      <c r="G641" s="1081">
        <f t="shared" ref="G641:M641" ca="1" si="226">G292/G$531</f>
        <v>5.059889430554427E-5</v>
      </c>
      <c r="H641" s="1081">
        <f t="shared" ca="1" si="226"/>
        <v>5.059889430554427E-5</v>
      </c>
      <c r="I641" s="1081">
        <f t="shared" ca="1" si="226"/>
        <v>5.059889430554427E-5</v>
      </c>
      <c r="J641" s="1081">
        <f t="shared" ca="1" si="226"/>
        <v>5.059889430554427E-5</v>
      </c>
      <c r="K641" s="1081">
        <f t="shared" ca="1" si="226"/>
        <v>5.059889430554427E-5</v>
      </c>
      <c r="L641" s="1081">
        <f t="shared" ca="1" si="226"/>
        <v>5.059889430554427E-5</v>
      </c>
      <c r="M641" s="1081">
        <f t="shared" ca="1" si="226"/>
        <v>5.059889430554427E-5</v>
      </c>
    </row>
    <row r="642" spans="2:13" outlineLevel="1" x14ac:dyDescent="0.15">
      <c r="C642" s="8" t="s">
        <v>1536</v>
      </c>
      <c r="D642" s="26"/>
      <c r="E642" s="26"/>
      <c r="F642" s="26"/>
      <c r="G642" s="1081">
        <f t="shared" ref="G642:M642" ca="1" si="227">G293/G$531</f>
        <v>3.9441097455160123E-5</v>
      </c>
      <c r="H642" s="1081">
        <f t="shared" ca="1" si="227"/>
        <v>3.9441097455160123E-5</v>
      </c>
      <c r="I642" s="1081">
        <f t="shared" ca="1" si="227"/>
        <v>3.9441097455160123E-5</v>
      </c>
      <c r="J642" s="1081">
        <f t="shared" ca="1" si="227"/>
        <v>3.9441097455160123E-5</v>
      </c>
      <c r="K642" s="1081">
        <f t="shared" ca="1" si="227"/>
        <v>3.9441097455160123E-5</v>
      </c>
      <c r="L642" s="1081">
        <f t="shared" ca="1" si="227"/>
        <v>3.9441097455160123E-5</v>
      </c>
      <c r="M642" s="1081">
        <f t="shared" ca="1" si="227"/>
        <v>3.9441097455160123E-5</v>
      </c>
    </row>
    <row r="643" spans="2:13" outlineLevel="1" x14ac:dyDescent="0.15">
      <c r="C643" s="8" t="s">
        <v>1676</v>
      </c>
      <c r="D643" s="26"/>
      <c r="E643" s="26"/>
      <c r="F643" s="26"/>
      <c r="G643" s="1081">
        <f t="shared" ref="G643:M643" ca="1" si="228">G294/G$531</f>
        <v>1.0974764676062569E-3</v>
      </c>
      <c r="H643" s="1081">
        <f t="shared" ca="1" si="228"/>
        <v>1.0974764676062569E-3</v>
      </c>
      <c r="I643" s="1081">
        <f t="shared" ca="1" si="228"/>
        <v>1.0974764676062569E-3</v>
      </c>
      <c r="J643" s="1081">
        <f t="shared" ca="1" si="228"/>
        <v>1.0974764676062569E-3</v>
      </c>
      <c r="K643" s="1081">
        <f t="shared" ca="1" si="228"/>
        <v>1.0974764676062569E-3</v>
      </c>
      <c r="L643" s="1081">
        <f t="shared" ca="1" si="228"/>
        <v>1.0974764676062569E-3</v>
      </c>
      <c r="M643" s="1081">
        <f t="shared" ca="1" si="228"/>
        <v>1.0974764676062569E-3</v>
      </c>
    </row>
    <row r="644" spans="2:13" outlineLevel="1" x14ac:dyDescent="0.15">
      <c r="C644" s="8"/>
      <c r="D644" s="26"/>
      <c r="E644" s="26"/>
      <c r="F644" s="26"/>
      <c r="G644" s="1081"/>
      <c r="H644" s="1081"/>
      <c r="I644" s="1081"/>
      <c r="J644" s="1081"/>
      <c r="K644" s="1081"/>
      <c r="L644" s="1081"/>
      <c r="M644" s="1081"/>
    </row>
    <row r="645" spans="2:13" outlineLevel="1" x14ac:dyDescent="0.15">
      <c r="B645" s="225" t="s">
        <v>1185</v>
      </c>
      <c r="D645" s="26"/>
      <c r="E645" s="26"/>
      <c r="F645" s="26"/>
      <c r="G645" s="1081"/>
      <c r="H645" s="1081"/>
      <c r="I645" s="1081"/>
      <c r="J645" s="1081"/>
      <c r="K645" s="1081"/>
      <c r="L645" s="1081"/>
      <c r="M645" s="1081"/>
    </row>
    <row r="646" spans="2:13" outlineLevel="1" x14ac:dyDescent="0.15">
      <c r="C646" s="8" t="s">
        <v>1673</v>
      </c>
      <c r="D646" s="26"/>
      <c r="E646" s="26"/>
      <c r="F646" s="26"/>
      <c r="G646" s="1081">
        <f t="shared" ref="G646:M646" ca="1" si="229">G297/G$531</f>
        <v>3.4621973187899332E-4</v>
      </c>
      <c r="H646" s="1081">
        <f t="shared" ca="1" si="229"/>
        <v>3.4621973187899332E-4</v>
      </c>
      <c r="I646" s="1081">
        <f t="shared" ca="1" si="229"/>
        <v>3.4621973187899332E-4</v>
      </c>
      <c r="J646" s="1081">
        <f t="shared" ca="1" si="229"/>
        <v>3.4621973187899332E-4</v>
      </c>
      <c r="K646" s="1081">
        <f t="shared" ca="1" si="229"/>
        <v>3.4621973187899332E-4</v>
      </c>
      <c r="L646" s="1081">
        <f t="shared" ca="1" si="229"/>
        <v>3.4621973187899332E-4</v>
      </c>
      <c r="M646" s="1081">
        <f t="shared" ca="1" si="229"/>
        <v>3.4621973187899332E-4</v>
      </c>
    </row>
    <row r="647" spans="2:13" outlineLevel="1" x14ac:dyDescent="0.15">
      <c r="C647" s="8" t="s">
        <v>1674</v>
      </c>
      <c r="D647" s="26"/>
      <c r="E647" s="26"/>
      <c r="F647" s="26"/>
      <c r="G647" s="1081">
        <f t="shared" ref="G647:M647" ca="1" si="230">G298/G$531</f>
        <v>6.9707926760929656E-4</v>
      </c>
      <c r="H647" s="1081">
        <f t="shared" ca="1" si="230"/>
        <v>6.9707926760929656E-4</v>
      </c>
      <c r="I647" s="1081">
        <f t="shared" ca="1" si="230"/>
        <v>6.9707926760929656E-4</v>
      </c>
      <c r="J647" s="1081">
        <f t="shared" ca="1" si="230"/>
        <v>6.9707926760929656E-4</v>
      </c>
      <c r="K647" s="1081">
        <f t="shared" ca="1" si="230"/>
        <v>6.9707926760929656E-4</v>
      </c>
      <c r="L647" s="1081">
        <f t="shared" ca="1" si="230"/>
        <v>6.9707926760929656E-4</v>
      </c>
      <c r="M647" s="1081">
        <f t="shared" ca="1" si="230"/>
        <v>6.9707926760929656E-4</v>
      </c>
    </row>
    <row r="648" spans="2:13" outlineLevel="1" x14ac:dyDescent="0.15">
      <c r="C648" s="8" t="s">
        <v>1675</v>
      </c>
      <c r="D648" s="26"/>
      <c r="E648" s="26"/>
      <c r="F648" s="26"/>
      <c r="G648" s="1081">
        <f t="shared" ref="G648:M648" ca="1" si="231">G299/G$531</f>
        <v>5.0409403985524847E-5</v>
      </c>
      <c r="H648" s="1081">
        <f t="shared" ca="1" si="231"/>
        <v>5.0409403985524847E-5</v>
      </c>
      <c r="I648" s="1081">
        <f t="shared" ca="1" si="231"/>
        <v>5.0409403985524847E-5</v>
      </c>
      <c r="J648" s="1081">
        <f t="shared" ca="1" si="231"/>
        <v>5.0409403985524847E-5</v>
      </c>
      <c r="K648" s="1081">
        <f t="shared" ca="1" si="231"/>
        <v>5.0409403985524847E-5</v>
      </c>
      <c r="L648" s="1081">
        <f t="shared" ca="1" si="231"/>
        <v>5.0409403985524847E-5</v>
      </c>
      <c r="M648" s="1081">
        <f t="shared" ca="1" si="231"/>
        <v>5.0409403985524847E-5</v>
      </c>
    </row>
    <row r="649" spans="2:13" outlineLevel="1" x14ac:dyDescent="0.15">
      <c r="C649" s="8" t="s">
        <v>1536</v>
      </c>
      <c r="D649" s="26"/>
      <c r="E649" s="26"/>
      <c r="F649" s="26"/>
      <c r="G649" s="1081">
        <f t="shared" ref="G649:M649" ca="1" si="232">G300/G$531</f>
        <v>1.5280763759498448E-5</v>
      </c>
      <c r="H649" s="1081">
        <f t="shared" ca="1" si="232"/>
        <v>1.5280763759498448E-5</v>
      </c>
      <c r="I649" s="1081">
        <f t="shared" ca="1" si="232"/>
        <v>1.5280763759498448E-5</v>
      </c>
      <c r="J649" s="1081">
        <f t="shared" ca="1" si="232"/>
        <v>1.5280763759498448E-5</v>
      </c>
      <c r="K649" s="1081">
        <f t="shared" ca="1" si="232"/>
        <v>1.5280763759498448E-5</v>
      </c>
      <c r="L649" s="1081">
        <f t="shared" ca="1" si="232"/>
        <v>1.5280763759498448E-5</v>
      </c>
      <c r="M649" s="1081">
        <f t="shared" ca="1" si="232"/>
        <v>1.5280763759498448E-5</v>
      </c>
    </row>
    <row r="650" spans="2:13" outlineLevel="1" x14ac:dyDescent="0.15">
      <c r="C650" s="8" t="s">
        <v>1676</v>
      </c>
      <c r="D650" s="26"/>
      <c r="E650" s="26"/>
      <c r="F650" s="26"/>
      <c r="G650" s="1081">
        <f t="shared" ref="G650:M650" ca="1" si="233">G301/G$531</f>
        <v>1.1089891672333132E-3</v>
      </c>
      <c r="H650" s="1081">
        <f t="shared" ca="1" si="233"/>
        <v>1.1089891672333132E-3</v>
      </c>
      <c r="I650" s="1081">
        <f t="shared" ca="1" si="233"/>
        <v>1.1089891672333132E-3</v>
      </c>
      <c r="J650" s="1081">
        <f t="shared" ca="1" si="233"/>
        <v>1.1089891672333132E-3</v>
      </c>
      <c r="K650" s="1081">
        <f t="shared" ca="1" si="233"/>
        <v>1.1089891672333132E-3</v>
      </c>
      <c r="L650" s="1081">
        <f t="shared" ca="1" si="233"/>
        <v>1.1089891672333132E-3</v>
      </c>
      <c r="M650" s="1081">
        <f t="shared" ca="1" si="233"/>
        <v>1.1089891672333132E-3</v>
      </c>
    </row>
    <row r="651" spans="2:13" outlineLevel="1" x14ac:dyDescent="0.15">
      <c r="C651" s="8"/>
      <c r="D651" s="26"/>
      <c r="E651" s="26"/>
      <c r="F651" s="26"/>
      <c r="G651" s="1081">
        <f t="shared" ref="G651:M651" ca="1" si="234">G302/G$531</f>
        <v>0</v>
      </c>
      <c r="H651" s="1081">
        <f t="shared" ca="1" si="234"/>
        <v>0</v>
      </c>
      <c r="I651" s="1081">
        <f t="shared" ca="1" si="234"/>
        <v>0</v>
      </c>
      <c r="J651" s="1081">
        <f t="shared" ca="1" si="234"/>
        <v>0</v>
      </c>
      <c r="K651" s="1081">
        <f t="shared" ca="1" si="234"/>
        <v>0</v>
      </c>
      <c r="L651" s="1081">
        <f t="shared" ca="1" si="234"/>
        <v>0</v>
      </c>
      <c r="M651" s="1081">
        <f t="shared" ca="1" si="234"/>
        <v>0</v>
      </c>
    </row>
    <row r="652" spans="2:13" outlineLevel="1" x14ac:dyDescent="0.15">
      <c r="B652" s="225" t="s">
        <v>1680</v>
      </c>
      <c r="D652" s="26"/>
      <c r="E652" s="26"/>
      <c r="F652" s="26"/>
      <c r="G652" s="1081">
        <f t="shared" ref="G652:M652" ca="1" si="235">G303/G$531</f>
        <v>0</v>
      </c>
      <c r="H652" s="1081">
        <f t="shared" ca="1" si="235"/>
        <v>0</v>
      </c>
      <c r="I652" s="1081">
        <f t="shared" ca="1" si="235"/>
        <v>0</v>
      </c>
      <c r="J652" s="1081">
        <f t="shared" ca="1" si="235"/>
        <v>0</v>
      </c>
      <c r="K652" s="1081">
        <f t="shared" ca="1" si="235"/>
        <v>0</v>
      </c>
      <c r="L652" s="1081">
        <f t="shared" ca="1" si="235"/>
        <v>0</v>
      </c>
      <c r="M652" s="1081">
        <f t="shared" ca="1" si="235"/>
        <v>0</v>
      </c>
    </row>
    <row r="653" spans="2:13" outlineLevel="1" x14ac:dyDescent="0.15">
      <c r="C653" s="8" t="s">
        <v>1673</v>
      </c>
      <c r="D653" s="26"/>
      <c r="E653" s="26"/>
      <c r="F653" s="26"/>
      <c r="G653" s="1081">
        <f t="shared" ref="G653:M653" ca="1" si="236">G304/G$531</f>
        <v>6.5409475806748544E-4</v>
      </c>
      <c r="H653" s="1081">
        <f t="shared" ca="1" si="236"/>
        <v>6.5409475806748544E-4</v>
      </c>
      <c r="I653" s="1081">
        <f t="shared" ca="1" si="236"/>
        <v>6.5409475806748544E-4</v>
      </c>
      <c r="J653" s="1081">
        <f t="shared" ca="1" si="236"/>
        <v>6.5409475806748544E-4</v>
      </c>
      <c r="K653" s="1081">
        <f t="shared" ca="1" si="236"/>
        <v>6.5409475806748544E-4</v>
      </c>
      <c r="L653" s="1081">
        <f t="shared" ca="1" si="236"/>
        <v>6.5409475806748544E-4</v>
      </c>
      <c r="M653" s="1081">
        <f t="shared" ca="1" si="236"/>
        <v>6.5409475806748544E-4</v>
      </c>
    </row>
    <row r="654" spans="2:13" outlineLevel="1" x14ac:dyDescent="0.15">
      <c r="C654" s="8" t="s">
        <v>1674</v>
      </c>
      <c r="D654" s="26"/>
      <c r="E654" s="26"/>
      <c r="F654" s="26"/>
      <c r="G654" s="1081">
        <f t="shared" ref="G654:M654" ca="1" si="237">G305/G$531</f>
        <v>1.3966407172663572E-3</v>
      </c>
      <c r="H654" s="1081">
        <f t="shared" ca="1" si="237"/>
        <v>1.3966407172663572E-3</v>
      </c>
      <c r="I654" s="1081">
        <f t="shared" ca="1" si="237"/>
        <v>1.3966407172663572E-3</v>
      </c>
      <c r="J654" s="1081">
        <f t="shared" ca="1" si="237"/>
        <v>1.3966407172663572E-3</v>
      </c>
      <c r="K654" s="1081">
        <f t="shared" ca="1" si="237"/>
        <v>1.3966407172663572E-3</v>
      </c>
      <c r="L654" s="1081">
        <f t="shared" ca="1" si="237"/>
        <v>1.3966407172663572E-3</v>
      </c>
      <c r="M654" s="1081">
        <f t="shared" ca="1" si="237"/>
        <v>1.3966407172663572E-3</v>
      </c>
    </row>
    <row r="655" spans="2:13" outlineLevel="1" x14ac:dyDescent="0.15">
      <c r="C655" s="8" t="s">
        <v>1675</v>
      </c>
      <c r="D655" s="26"/>
      <c r="E655" s="26"/>
      <c r="F655" s="26"/>
      <c r="G655" s="1081">
        <f t="shared" ref="G655:M655" ca="1" si="238">G306/G$531</f>
        <v>1.0100829829106911E-4</v>
      </c>
      <c r="H655" s="1081">
        <f t="shared" ca="1" si="238"/>
        <v>1.0100829829106911E-4</v>
      </c>
      <c r="I655" s="1081">
        <f t="shared" ca="1" si="238"/>
        <v>1.0100829829106911E-4</v>
      </c>
      <c r="J655" s="1081">
        <f t="shared" ca="1" si="238"/>
        <v>1.0100829829106911E-4</v>
      </c>
      <c r="K655" s="1081">
        <f t="shared" ca="1" si="238"/>
        <v>1.0100829829106911E-4</v>
      </c>
      <c r="L655" s="1081">
        <f t="shared" ca="1" si="238"/>
        <v>1.0100829829106911E-4</v>
      </c>
      <c r="M655" s="1081">
        <f t="shared" ca="1" si="238"/>
        <v>1.0100829829106911E-4</v>
      </c>
    </row>
    <row r="656" spans="2:13" outlineLevel="1" x14ac:dyDescent="0.15">
      <c r="C656" s="8" t="s">
        <v>1536</v>
      </c>
      <c r="D656" s="26"/>
      <c r="E656" s="26"/>
      <c r="F656" s="26"/>
      <c r="G656" s="1081">
        <f t="shared" ref="G656:M656" ca="1" si="239">G307/G$531</f>
        <v>5.4721861214658568E-5</v>
      </c>
      <c r="H656" s="1081">
        <f t="shared" ca="1" si="239"/>
        <v>5.4721861214658568E-5</v>
      </c>
      <c r="I656" s="1081">
        <f t="shared" ca="1" si="239"/>
        <v>5.4721861214658568E-5</v>
      </c>
      <c r="J656" s="1081">
        <f t="shared" ca="1" si="239"/>
        <v>5.4721861214658568E-5</v>
      </c>
      <c r="K656" s="1081">
        <f t="shared" ca="1" si="239"/>
        <v>5.4721861214658568E-5</v>
      </c>
      <c r="L656" s="1081">
        <f t="shared" ca="1" si="239"/>
        <v>5.4721861214658568E-5</v>
      </c>
      <c r="M656" s="1081">
        <f t="shared" ca="1" si="239"/>
        <v>5.4721861214658568E-5</v>
      </c>
    </row>
    <row r="657" spans="2:13" outlineLevel="1" x14ac:dyDescent="0.15">
      <c r="C657" s="8" t="s">
        <v>1676</v>
      </c>
      <c r="D657" s="26"/>
      <c r="E657" s="26"/>
      <c r="F657" s="26"/>
      <c r="G657" s="1081">
        <f t="shared" ref="G657:M657" ca="1" si="240">G308/G$531</f>
        <v>2.2064656348395701E-3</v>
      </c>
      <c r="H657" s="1081">
        <f t="shared" ca="1" si="240"/>
        <v>2.2064656348395701E-3</v>
      </c>
      <c r="I657" s="1081">
        <f t="shared" ca="1" si="240"/>
        <v>2.2064656348395701E-3</v>
      </c>
      <c r="J657" s="1081">
        <f t="shared" ca="1" si="240"/>
        <v>2.2064656348395701E-3</v>
      </c>
      <c r="K657" s="1081">
        <f t="shared" ca="1" si="240"/>
        <v>2.2064656348395701E-3</v>
      </c>
      <c r="L657" s="1081">
        <f t="shared" ca="1" si="240"/>
        <v>2.2064656348395701E-3</v>
      </c>
      <c r="M657" s="1081">
        <f t="shared" ca="1" si="240"/>
        <v>2.2064656348395701E-3</v>
      </c>
    </row>
    <row r="658" spans="2:13" outlineLevel="1" x14ac:dyDescent="0.15">
      <c r="C658" s="8"/>
      <c r="D658" s="26"/>
      <c r="E658" s="26"/>
      <c r="F658" s="26"/>
      <c r="G658" s="1081"/>
      <c r="H658" s="1081"/>
      <c r="I658" s="1081"/>
      <c r="J658" s="1081"/>
      <c r="K658" s="1081"/>
      <c r="L658" s="1081"/>
      <c r="M658" s="1081"/>
    </row>
    <row r="659" spans="2:13" ht="14" outlineLevel="1" x14ac:dyDescent="0.15">
      <c r="B659" s="507" t="s">
        <v>1188</v>
      </c>
      <c r="D659" s="26"/>
      <c r="E659" s="26"/>
      <c r="F659" s="26"/>
      <c r="G659" s="1081"/>
      <c r="H659" s="1081"/>
      <c r="I659" s="1081"/>
      <c r="J659" s="1081"/>
      <c r="K659" s="1081"/>
      <c r="L659" s="1081"/>
      <c r="M659" s="1081"/>
    </row>
    <row r="660" spans="2:13" outlineLevel="1" x14ac:dyDescent="0.15">
      <c r="B660" s="225" t="s">
        <v>1179</v>
      </c>
      <c r="D660" s="26"/>
      <c r="E660" s="26"/>
      <c r="F660" s="26"/>
      <c r="G660" s="1081"/>
      <c r="H660" s="1081"/>
      <c r="I660" s="1081"/>
      <c r="J660" s="1081"/>
      <c r="K660" s="1081"/>
      <c r="L660" s="1081"/>
      <c r="M660" s="1081"/>
    </row>
    <row r="661" spans="2:13" outlineLevel="1" x14ac:dyDescent="0.15">
      <c r="C661" s="8" t="s">
        <v>1673</v>
      </c>
      <c r="D661" s="26"/>
      <c r="E661" s="26"/>
      <c r="F661" s="26"/>
      <c r="G661" s="1081">
        <f t="shared" ref="G661:M661" ca="1" si="241">G312/G$531</f>
        <v>1.6376331180238941E-3</v>
      </c>
      <c r="H661" s="1081">
        <f t="shared" ca="1" si="241"/>
        <v>1.6376331180238941E-3</v>
      </c>
      <c r="I661" s="1081">
        <f t="shared" ca="1" si="241"/>
        <v>1.6376331180238941E-3</v>
      </c>
      <c r="J661" s="1081">
        <f t="shared" ca="1" si="241"/>
        <v>1.6376331180238941E-3</v>
      </c>
      <c r="K661" s="1081">
        <f t="shared" ca="1" si="241"/>
        <v>1.6376331180238941E-3</v>
      </c>
      <c r="L661" s="1081">
        <f t="shared" ca="1" si="241"/>
        <v>1.6376331180238941E-3</v>
      </c>
      <c r="M661" s="1081">
        <f t="shared" ca="1" si="241"/>
        <v>1.6376331180238941E-3</v>
      </c>
    </row>
    <row r="662" spans="2:13" outlineLevel="1" x14ac:dyDescent="0.15">
      <c r="C662" s="8" t="s">
        <v>1674</v>
      </c>
      <c r="D662" s="26"/>
      <c r="E662" s="26"/>
      <c r="F662" s="26"/>
      <c r="G662" s="1081">
        <f t="shared" ref="G662:M662" ca="1" si="242">G313/G$531</f>
        <v>8.2972704073931811E-4</v>
      </c>
      <c r="H662" s="1081">
        <f t="shared" ca="1" si="242"/>
        <v>8.2972704073931811E-4</v>
      </c>
      <c r="I662" s="1081">
        <f t="shared" ca="1" si="242"/>
        <v>8.2972704073931811E-4</v>
      </c>
      <c r="J662" s="1081">
        <f t="shared" ca="1" si="242"/>
        <v>8.2972704073931811E-4</v>
      </c>
      <c r="K662" s="1081">
        <f t="shared" ca="1" si="242"/>
        <v>8.2972704073931811E-4</v>
      </c>
      <c r="L662" s="1081">
        <f t="shared" ca="1" si="242"/>
        <v>8.2972704073931811E-4</v>
      </c>
      <c r="M662" s="1081">
        <f t="shared" ca="1" si="242"/>
        <v>8.2972704073931811E-4</v>
      </c>
    </row>
    <row r="663" spans="2:13" outlineLevel="1" x14ac:dyDescent="0.15">
      <c r="C663" s="8" t="s">
        <v>1675</v>
      </c>
      <c r="D663" s="26"/>
      <c r="E663" s="26"/>
      <c r="F663" s="26"/>
      <c r="G663" s="1081">
        <f t="shared" ref="G663:M663" ca="1" si="243">G314/G$531</f>
        <v>7.7103077037019854E-5</v>
      </c>
      <c r="H663" s="1081">
        <f t="shared" ca="1" si="243"/>
        <v>7.7103077037019854E-5</v>
      </c>
      <c r="I663" s="1081">
        <f t="shared" ca="1" si="243"/>
        <v>7.7103077037019854E-5</v>
      </c>
      <c r="J663" s="1081">
        <f t="shared" ca="1" si="243"/>
        <v>7.7103077037019854E-5</v>
      </c>
      <c r="K663" s="1081">
        <f t="shared" ca="1" si="243"/>
        <v>7.7103077037019854E-5</v>
      </c>
      <c r="L663" s="1081">
        <f t="shared" ca="1" si="243"/>
        <v>7.7103077037019854E-5</v>
      </c>
      <c r="M663" s="1081">
        <f t="shared" ca="1" si="243"/>
        <v>7.7103077037019854E-5</v>
      </c>
    </row>
    <row r="664" spans="2:13" outlineLevel="1" x14ac:dyDescent="0.15">
      <c r="C664" s="8" t="s">
        <v>1536</v>
      </c>
      <c r="D664" s="26"/>
      <c r="E664" s="26"/>
      <c r="F664" s="26"/>
      <c r="G664" s="1081">
        <f t="shared" ref="G664:M664" ca="1" si="244">G315/G$531</f>
        <v>7.0117506586951336E-5</v>
      </c>
      <c r="H664" s="1081">
        <f t="shared" ca="1" si="244"/>
        <v>7.0117506586951336E-5</v>
      </c>
      <c r="I664" s="1081">
        <f t="shared" ca="1" si="244"/>
        <v>7.0117506586951336E-5</v>
      </c>
      <c r="J664" s="1081">
        <f t="shared" ca="1" si="244"/>
        <v>7.0117506586951336E-5</v>
      </c>
      <c r="K664" s="1081">
        <f t="shared" ca="1" si="244"/>
        <v>7.0117506586951336E-5</v>
      </c>
      <c r="L664" s="1081">
        <f t="shared" ca="1" si="244"/>
        <v>7.0117506586951336E-5</v>
      </c>
      <c r="M664" s="1081">
        <f t="shared" ca="1" si="244"/>
        <v>7.0117506586951336E-5</v>
      </c>
    </row>
    <row r="665" spans="2:13" outlineLevel="1" x14ac:dyDescent="0.15">
      <c r="C665" s="8" t="s">
        <v>1676</v>
      </c>
      <c r="D665" s="26"/>
      <c r="E665" s="26"/>
      <c r="F665" s="26"/>
      <c r="G665" s="1081">
        <f t="shared" ref="G665:M665" ca="1" si="245">G316/G$531</f>
        <v>2.6145807423871834E-3</v>
      </c>
      <c r="H665" s="1081">
        <f t="shared" ca="1" si="245"/>
        <v>2.6145807423871834E-3</v>
      </c>
      <c r="I665" s="1081">
        <f t="shared" ca="1" si="245"/>
        <v>2.6145807423871834E-3</v>
      </c>
      <c r="J665" s="1081">
        <f t="shared" ca="1" si="245"/>
        <v>2.6145807423871834E-3</v>
      </c>
      <c r="K665" s="1081">
        <f t="shared" ca="1" si="245"/>
        <v>2.6145807423871834E-3</v>
      </c>
      <c r="L665" s="1081">
        <f t="shared" ca="1" si="245"/>
        <v>2.6145807423871834E-3</v>
      </c>
      <c r="M665" s="1081">
        <f t="shared" ca="1" si="245"/>
        <v>2.6145807423871834E-3</v>
      </c>
    </row>
    <row r="666" spans="2:13" outlineLevel="1" x14ac:dyDescent="0.15">
      <c r="C666" s="8"/>
      <c r="D666" s="26"/>
      <c r="E666" s="26"/>
      <c r="F666" s="26"/>
      <c r="G666" s="1081"/>
      <c r="H666" s="1081"/>
      <c r="I666" s="1081"/>
      <c r="J666" s="1081"/>
      <c r="K666" s="1081"/>
      <c r="L666" s="1081"/>
      <c r="M666" s="1081"/>
    </row>
    <row r="667" spans="2:13" outlineLevel="1" x14ac:dyDescent="0.15">
      <c r="B667" s="225" t="s">
        <v>1185</v>
      </c>
      <c r="D667" s="26"/>
      <c r="E667" s="26"/>
      <c r="F667" s="26"/>
      <c r="G667" s="1081"/>
      <c r="H667" s="1081"/>
      <c r="I667" s="1081"/>
      <c r="J667" s="1081"/>
      <c r="K667" s="1081"/>
      <c r="L667" s="1081"/>
      <c r="M667" s="1081"/>
    </row>
    <row r="668" spans="2:13" outlineLevel="1" x14ac:dyDescent="0.15">
      <c r="C668" s="8" t="s">
        <v>1673</v>
      </c>
      <c r="D668" s="26"/>
      <c r="E668" s="26"/>
      <c r="F668" s="26"/>
      <c r="G668" s="1081">
        <f t="shared" ref="G668:M668" ca="1" si="246">G319/G$531</f>
        <v>1.6331119428254401E-3</v>
      </c>
      <c r="H668" s="1081">
        <f t="shared" ca="1" si="246"/>
        <v>1.6331119428254401E-3</v>
      </c>
      <c r="I668" s="1081">
        <f t="shared" ca="1" si="246"/>
        <v>1.6331119428254401E-3</v>
      </c>
      <c r="J668" s="1081">
        <f t="shared" ca="1" si="246"/>
        <v>1.6331119428254401E-3</v>
      </c>
      <c r="K668" s="1081">
        <f t="shared" ca="1" si="246"/>
        <v>1.6331119428254401E-3</v>
      </c>
      <c r="L668" s="1081">
        <f t="shared" ca="1" si="246"/>
        <v>1.6331119428254401E-3</v>
      </c>
      <c r="M668" s="1081">
        <f t="shared" ca="1" si="246"/>
        <v>1.6331119428254401E-3</v>
      </c>
    </row>
    <row r="669" spans="2:13" outlineLevel="1" x14ac:dyDescent="0.15">
      <c r="C669" s="8" t="s">
        <v>1674</v>
      </c>
      <c r="D669" s="26"/>
      <c r="E669" s="26"/>
      <c r="F669" s="26"/>
      <c r="G669" s="1081">
        <f t="shared" ref="G669:M669" ca="1" si="247">G320/G$531</f>
        <v>8.2678300549255453E-4</v>
      </c>
      <c r="H669" s="1081">
        <f t="shared" ca="1" si="247"/>
        <v>8.2678300549255453E-4</v>
      </c>
      <c r="I669" s="1081">
        <f t="shared" ca="1" si="247"/>
        <v>8.2678300549255453E-4</v>
      </c>
      <c r="J669" s="1081">
        <f t="shared" ca="1" si="247"/>
        <v>8.2678300549255453E-4</v>
      </c>
      <c r="K669" s="1081">
        <f t="shared" ca="1" si="247"/>
        <v>8.2678300549255453E-4</v>
      </c>
      <c r="L669" s="1081">
        <f t="shared" ca="1" si="247"/>
        <v>8.2678300549255453E-4</v>
      </c>
      <c r="M669" s="1081">
        <f t="shared" ca="1" si="247"/>
        <v>8.2678300549255453E-4</v>
      </c>
    </row>
    <row r="670" spans="2:13" outlineLevel="1" x14ac:dyDescent="0.15">
      <c r="C670" s="8" t="s">
        <v>1675</v>
      </c>
      <c r="D670" s="26"/>
      <c r="E670" s="26"/>
      <c r="F670" s="26"/>
      <c r="G670" s="1081">
        <f t="shared" ref="G670:M670" ca="1" si="248">G321/G$531</f>
        <v>7.6814329882704527E-5</v>
      </c>
      <c r="H670" s="1081">
        <f t="shared" ca="1" si="248"/>
        <v>7.6814329882704527E-5</v>
      </c>
      <c r="I670" s="1081">
        <f t="shared" ca="1" si="248"/>
        <v>7.6814329882704527E-5</v>
      </c>
      <c r="J670" s="1081">
        <f t="shared" ca="1" si="248"/>
        <v>7.6814329882704527E-5</v>
      </c>
      <c r="K670" s="1081">
        <f t="shared" ca="1" si="248"/>
        <v>7.6814329882704527E-5</v>
      </c>
      <c r="L670" s="1081">
        <f t="shared" ca="1" si="248"/>
        <v>7.6814329882704527E-5</v>
      </c>
      <c r="M670" s="1081">
        <f t="shared" ca="1" si="248"/>
        <v>7.6814329882704527E-5</v>
      </c>
    </row>
    <row r="671" spans="2:13" outlineLevel="1" x14ac:dyDescent="0.15">
      <c r="C671" s="8" t="s">
        <v>1536</v>
      </c>
      <c r="D671" s="26"/>
      <c r="E671" s="26"/>
      <c r="F671" s="26"/>
      <c r="G671" s="1081">
        <f t="shared" ref="G671:M671" ca="1" si="249">G322/G$531</f>
        <v>7.4220852546135323E-5</v>
      </c>
      <c r="H671" s="1081">
        <f t="shared" ca="1" si="249"/>
        <v>7.4220852546135323E-5</v>
      </c>
      <c r="I671" s="1081">
        <f t="shared" ca="1" si="249"/>
        <v>7.4220852546135323E-5</v>
      </c>
      <c r="J671" s="1081">
        <f t="shared" ca="1" si="249"/>
        <v>7.4220852546135323E-5</v>
      </c>
      <c r="K671" s="1081">
        <f t="shared" ca="1" si="249"/>
        <v>7.4220852546135323E-5</v>
      </c>
      <c r="L671" s="1081">
        <f t="shared" ca="1" si="249"/>
        <v>7.4220852546135323E-5</v>
      </c>
      <c r="M671" s="1081">
        <f t="shared" ca="1" si="249"/>
        <v>7.4220852546135323E-5</v>
      </c>
    </row>
    <row r="672" spans="2:13" outlineLevel="1" x14ac:dyDescent="0.15">
      <c r="C672" s="8" t="s">
        <v>1676</v>
      </c>
      <c r="D672" s="26"/>
      <c r="E672" s="26"/>
      <c r="F672" s="26"/>
      <c r="G672" s="1081">
        <f t="shared" ref="G672:M672" ca="1" si="250">G323/G$531</f>
        <v>2.6109301307468348E-3</v>
      </c>
      <c r="H672" s="1081">
        <f t="shared" ca="1" si="250"/>
        <v>2.6109301307468348E-3</v>
      </c>
      <c r="I672" s="1081">
        <f t="shared" ca="1" si="250"/>
        <v>2.6109301307468348E-3</v>
      </c>
      <c r="J672" s="1081">
        <f t="shared" ca="1" si="250"/>
        <v>2.6109301307468348E-3</v>
      </c>
      <c r="K672" s="1081">
        <f t="shared" ca="1" si="250"/>
        <v>2.6109301307468348E-3</v>
      </c>
      <c r="L672" s="1081">
        <f t="shared" ca="1" si="250"/>
        <v>2.6109301307468348E-3</v>
      </c>
      <c r="M672" s="1081">
        <f t="shared" ca="1" si="250"/>
        <v>2.6109301307468348E-3</v>
      </c>
    </row>
    <row r="673" spans="2:13" outlineLevel="1" x14ac:dyDescent="0.15">
      <c r="C673" s="8"/>
      <c r="D673" s="26"/>
      <c r="E673" s="26"/>
      <c r="F673" s="26"/>
      <c r="G673" s="1081"/>
      <c r="H673" s="1081"/>
      <c r="I673" s="1081"/>
      <c r="J673" s="1081"/>
      <c r="K673" s="1081"/>
      <c r="L673" s="1081"/>
      <c r="M673" s="1081"/>
    </row>
    <row r="674" spans="2:13" outlineLevel="1" x14ac:dyDescent="0.15">
      <c r="B674" s="225" t="s">
        <v>1681</v>
      </c>
      <c r="D674" s="26"/>
      <c r="E674" s="26"/>
      <c r="F674" s="26"/>
      <c r="G674" s="1081"/>
      <c r="H674" s="1081"/>
      <c r="I674" s="1081"/>
      <c r="J674" s="1081"/>
      <c r="K674" s="1081"/>
      <c r="L674" s="1081"/>
      <c r="M674" s="1081"/>
    </row>
    <row r="675" spans="2:13" outlineLevel="1" x14ac:dyDescent="0.15">
      <c r="C675" s="8" t="s">
        <v>1673</v>
      </c>
      <c r="D675" s="26"/>
      <c r="E675" s="26"/>
      <c r="F675" s="26"/>
      <c r="G675" s="1081">
        <f t="shared" ref="G675:M675" ca="1" si="251">G326/G$531</f>
        <v>3.2707450608493345E-3</v>
      </c>
      <c r="H675" s="1081">
        <f t="shared" ca="1" si="251"/>
        <v>3.2707450608493345E-3</v>
      </c>
      <c r="I675" s="1081">
        <f t="shared" ca="1" si="251"/>
        <v>3.2707450608493345E-3</v>
      </c>
      <c r="J675" s="1081">
        <f t="shared" ca="1" si="251"/>
        <v>3.2707450608493345E-3</v>
      </c>
      <c r="K675" s="1081">
        <f t="shared" ca="1" si="251"/>
        <v>3.2707450608493345E-3</v>
      </c>
      <c r="L675" s="1081">
        <f t="shared" ca="1" si="251"/>
        <v>3.2707450608493345E-3</v>
      </c>
      <c r="M675" s="1081">
        <f t="shared" ca="1" si="251"/>
        <v>3.2707450608493345E-3</v>
      </c>
    </row>
    <row r="676" spans="2:13" outlineLevel="1" x14ac:dyDescent="0.15">
      <c r="C676" s="8" t="s">
        <v>1674</v>
      </c>
      <c r="D676" s="26"/>
      <c r="E676" s="26"/>
      <c r="F676" s="26"/>
      <c r="G676" s="1081">
        <f t="shared" ref="G676:M676" ca="1" si="252">G327/G$531</f>
        <v>1.6565100462318726E-3</v>
      </c>
      <c r="H676" s="1081">
        <f t="shared" ca="1" si="252"/>
        <v>1.6565100462318726E-3</v>
      </c>
      <c r="I676" s="1081">
        <f t="shared" ca="1" si="252"/>
        <v>1.6565100462318726E-3</v>
      </c>
      <c r="J676" s="1081">
        <f t="shared" ca="1" si="252"/>
        <v>1.6565100462318726E-3</v>
      </c>
      <c r="K676" s="1081">
        <f t="shared" ca="1" si="252"/>
        <v>1.6565100462318726E-3</v>
      </c>
      <c r="L676" s="1081">
        <f t="shared" ca="1" si="252"/>
        <v>1.6565100462318726E-3</v>
      </c>
      <c r="M676" s="1081">
        <f t="shared" ca="1" si="252"/>
        <v>1.6565100462318726E-3</v>
      </c>
    </row>
    <row r="677" spans="2:13" outlineLevel="1" x14ac:dyDescent="0.15">
      <c r="C677" s="8" t="s">
        <v>1675</v>
      </c>
      <c r="D677" s="26"/>
      <c r="E677" s="26"/>
      <c r="F677" s="26"/>
      <c r="G677" s="1081">
        <f t="shared" ref="G677:M677" ca="1" si="253">G328/G$531</f>
        <v>1.5391740691972437E-4</v>
      </c>
      <c r="H677" s="1081">
        <f t="shared" ca="1" si="253"/>
        <v>1.5391740691972437E-4</v>
      </c>
      <c r="I677" s="1081">
        <f t="shared" ca="1" si="253"/>
        <v>1.5391740691972437E-4</v>
      </c>
      <c r="J677" s="1081">
        <f t="shared" ca="1" si="253"/>
        <v>1.5391740691972437E-4</v>
      </c>
      <c r="K677" s="1081">
        <f t="shared" ca="1" si="253"/>
        <v>1.5391740691972437E-4</v>
      </c>
      <c r="L677" s="1081">
        <f t="shared" ca="1" si="253"/>
        <v>1.5391740691972437E-4</v>
      </c>
      <c r="M677" s="1081">
        <f t="shared" ca="1" si="253"/>
        <v>1.5391740691972437E-4</v>
      </c>
    </row>
    <row r="678" spans="2:13" outlineLevel="1" x14ac:dyDescent="0.15">
      <c r="C678" s="8" t="s">
        <v>1536</v>
      </c>
      <c r="D678" s="26"/>
      <c r="E678" s="26"/>
      <c r="F678" s="26"/>
      <c r="G678" s="1081">
        <f t="shared" ref="G678:M678" ca="1" si="254">G329/G$531</f>
        <v>1.4433835913308664E-4</v>
      </c>
      <c r="H678" s="1081">
        <f t="shared" ca="1" si="254"/>
        <v>1.4433835913308664E-4</v>
      </c>
      <c r="I678" s="1081">
        <f t="shared" ca="1" si="254"/>
        <v>1.4433835913308664E-4</v>
      </c>
      <c r="J678" s="1081">
        <f t="shared" ca="1" si="254"/>
        <v>1.4433835913308664E-4</v>
      </c>
      <c r="K678" s="1081">
        <f t="shared" ca="1" si="254"/>
        <v>1.4433835913308664E-4</v>
      </c>
      <c r="L678" s="1081">
        <f t="shared" ca="1" si="254"/>
        <v>1.4433835913308664E-4</v>
      </c>
      <c r="M678" s="1081">
        <f t="shared" ca="1" si="254"/>
        <v>1.4433835913308664E-4</v>
      </c>
    </row>
    <row r="679" spans="2:13" outlineLevel="1" x14ac:dyDescent="0.15">
      <c r="C679" s="8" t="s">
        <v>1676</v>
      </c>
      <c r="D679" s="26"/>
      <c r="E679" s="26"/>
      <c r="F679" s="26"/>
      <c r="G679" s="1081">
        <f t="shared" ref="G679:M679" ca="1" si="255">G330/G$531</f>
        <v>5.2255108731340183E-3</v>
      </c>
      <c r="H679" s="1081">
        <f t="shared" ca="1" si="255"/>
        <v>5.2255108731340183E-3</v>
      </c>
      <c r="I679" s="1081">
        <f t="shared" ca="1" si="255"/>
        <v>5.2255108731340183E-3</v>
      </c>
      <c r="J679" s="1081">
        <f t="shared" ca="1" si="255"/>
        <v>5.2255108731340183E-3</v>
      </c>
      <c r="K679" s="1081">
        <f t="shared" ca="1" si="255"/>
        <v>5.2255108731340183E-3</v>
      </c>
      <c r="L679" s="1081">
        <f t="shared" ca="1" si="255"/>
        <v>5.2255108731340183E-3</v>
      </c>
      <c r="M679" s="1081">
        <f t="shared" ca="1" si="255"/>
        <v>5.2255108731340183E-3</v>
      </c>
    </row>
    <row r="680" spans="2:13" outlineLevel="1" x14ac:dyDescent="0.15">
      <c r="C680" s="8"/>
      <c r="D680" s="26"/>
      <c r="E680" s="26"/>
      <c r="F680" s="26"/>
      <c r="G680" s="1081"/>
      <c r="H680" s="1081"/>
      <c r="I680" s="1081"/>
      <c r="J680" s="1081"/>
      <c r="K680" s="1081"/>
      <c r="L680" s="1081"/>
      <c r="M680" s="1081"/>
    </row>
    <row r="681" spans="2:13" ht="14" outlineLevel="1" x14ac:dyDescent="0.15">
      <c r="B681" s="507" t="s">
        <v>1189</v>
      </c>
      <c r="C681" s="8"/>
      <c r="D681" s="26"/>
      <c r="E681" s="26"/>
      <c r="F681" s="26"/>
      <c r="G681" s="1081"/>
      <c r="H681" s="1081"/>
      <c r="I681" s="1081"/>
      <c r="J681" s="1081"/>
      <c r="K681" s="1081"/>
      <c r="L681" s="1081"/>
      <c r="M681" s="1081"/>
    </row>
    <row r="682" spans="2:13" outlineLevel="1" x14ac:dyDescent="0.15">
      <c r="B682" s="225" t="s">
        <v>1179</v>
      </c>
      <c r="D682" s="26"/>
      <c r="E682" s="26"/>
      <c r="F682" s="26"/>
      <c r="G682" s="1081"/>
      <c r="H682" s="1081"/>
      <c r="I682" s="1081"/>
      <c r="J682" s="1081"/>
      <c r="K682" s="1081"/>
      <c r="L682" s="1081"/>
      <c r="M682" s="1081"/>
    </row>
    <row r="683" spans="2:13" outlineLevel="1" x14ac:dyDescent="0.15">
      <c r="C683" s="8" t="s">
        <v>1673</v>
      </c>
      <c r="D683" s="26"/>
      <c r="E683" s="26"/>
      <c r="F683" s="26"/>
      <c r="G683" s="1081">
        <f t="shared" ref="G683:M683" ca="1" si="256">G334/G$531</f>
        <v>2.6857183135591857E-4</v>
      </c>
      <c r="H683" s="1081">
        <f t="shared" ca="1" si="256"/>
        <v>2.6857183135591857E-4</v>
      </c>
      <c r="I683" s="1081">
        <f t="shared" ca="1" si="256"/>
        <v>2.6857183135591857E-4</v>
      </c>
      <c r="J683" s="1081">
        <f t="shared" ca="1" si="256"/>
        <v>2.6857183135591857E-4</v>
      </c>
      <c r="K683" s="1081">
        <f t="shared" ca="1" si="256"/>
        <v>2.6857183135591857E-4</v>
      </c>
      <c r="L683" s="1081">
        <f t="shared" ca="1" si="256"/>
        <v>2.6857183135591857E-4</v>
      </c>
      <c r="M683" s="1081">
        <f t="shared" ca="1" si="256"/>
        <v>2.6857183135591857E-4</v>
      </c>
    </row>
    <row r="684" spans="2:13" outlineLevel="1" x14ac:dyDescent="0.15">
      <c r="C684" s="8" t="s">
        <v>1674</v>
      </c>
      <c r="D684" s="26"/>
      <c r="E684" s="26"/>
      <c r="F684" s="26"/>
      <c r="G684" s="1081">
        <f t="shared" ref="G684:M684" ca="1" si="257">G335/G$531</f>
        <v>4.2696829152102841E-4</v>
      </c>
      <c r="H684" s="1081">
        <f t="shared" ca="1" si="257"/>
        <v>4.2696829152102841E-4</v>
      </c>
      <c r="I684" s="1081">
        <f t="shared" ca="1" si="257"/>
        <v>4.2696829152102841E-4</v>
      </c>
      <c r="J684" s="1081">
        <f t="shared" ca="1" si="257"/>
        <v>4.2696829152102841E-4</v>
      </c>
      <c r="K684" s="1081">
        <f t="shared" ca="1" si="257"/>
        <v>4.2696829152102841E-4</v>
      </c>
      <c r="L684" s="1081">
        <f t="shared" ca="1" si="257"/>
        <v>4.2696829152102841E-4</v>
      </c>
      <c r="M684" s="1081">
        <f t="shared" ca="1" si="257"/>
        <v>4.2696829152102841E-4</v>
      </c>
    </row>
    <row r="685" spans="2:13" outlineLevel="1" x14ac:dyDescent="0.15">
      <c r="C685" s="8" t="s">
        <v>1675</v>
      </c>
      <c r="D685" s="26"/>
      <c r="E685" s="26"/>
      <c r="F685" s="26"/>
      <c r="G685" s="1081">
        <f t="shared" ref="G685:M685" ca="1" si="258">G336/G$531</f>
        <v>4.3370480833323658E-5</v>
      </c>
      <c r="H685" s="1081">
        <f t="shared" ca="1" si="258"/>
        <v>4.3370480833323658E-5</v>
      </c>
      <c r="I685" s="1081">
        <f t="shared" ca="1" si="258"/>
        <v>4.3370480833323658E-5</v>
      </c>
      <c r="J685" s="1081">
        <f t="shared" ca="1" si="258"/>
        <v>4.3370480833323658E-5</v>
      </c>
      <c r="K685" s="1081">
        <f t="shared" ca="1" si="258"/>
        <v>4.3370480833323658E-5</v>
      </c>
      <c r="L685" s="1081">
        <f t="shared" ca="1" si="258"/>
        <v>4.3370480833323658E-5</v>
      </c>
      <c r="M685" s="1081">
        <f t="shared" ca="1" si="258"/>
        <v>4.3370480833323658E-5</v>
      </c>
    </row>
    <row r="686" spans="2:13" outlineLevel="1" x14ac:dyDescent="0.15">
      <c r="C686" s="8" t="s">
        <v>1536</v>
      </c>
      <c r="D686" s="26"/>
      <c r="E686" s="26"/>
      <c r="F686" s="26"/>
      <c r="G686" s="1081">
        <f t="shared" ref="G686:M686" ca="1" si="259">G337/G$531</f>
        <v>1.1636865246115971E-4</v>
      </c>
      <c r="H686" s="1081">
        <f t="shared" ca="1" si="259"/>
        <v>1.1636865246115971E-4</v>
      </c>
      <c r="I686" s="1081">
        <f t="shared" ca="1" si="259"/>
        <v>1.1636865246115971E-4</v>
      </c>
      <c r="J686" s="1081">
        <f t="shared" ca="1" si="259"/>
        <v>1.1636865246115971E-4</v>
      </c>
      <c r="K686" s="1081">
        <f t="shared" ca="1" si="259"/>
        <v>1.1636865246115971E-4</v>
      </c>
      <c r="L686" s="1081">
        <f t="shared" ca="1" si="259"/>
        <v>1.1636865246115971E-4</v>
      </c>
      <c r="M686" s="1081">
        <f t="shared" ca="1" si="259"/>
        <v>1.1636865246115971E-4</v>
      </c>
    </row>
    <row r="687" spans="2:13" outlineLevel="1" x14ac:dyDescent="0.15">
      <c r="C687" s="8" t="s">
        <v>1676</v>
      </c>
      <c r="D687" s="26"/>
      <c r="E687" s="26"/>
      <c r="F687" s="26"/>
      <c r="G687" s="1081">
        <f t="shared" ref="G687:M687" ca="1" si="260">G338/G$531</f>
        <v>8.5527925617143023E-4</v>
      </c>
      <c r="H687" s="1081">
        <f t="shared" ca="1" si="260"/>
        <v>8.5527925617143023E-4</v>
      </c>
      <c r="I687" s="1081">
        <f t="shared" ca="1" si="260"/>
        <v>8.5527925617143023E-4</v>
      </c>
      <c r="J687" s="1081">
        <f t="shared" ca="1" si="260"/>
        <v>8.5527925617143023E-4</v>
      </c>
      <c r="K687" s="1081">
        <f t="shared" ca="1" si="260"/>
        <v>8.5527925617143023E-4</v>
      </c>
      <c r="L687" s="1081">
        <f t="shared" ca="1" si="260"/>
        <v>8.5527925617143023E-4</v>
      </c>
      <c r="M687" s="1081">
        <f t="shared" ca="1" si="260"/>
        <v>8.5527925617143023E-4</v>
      </c>
    </row>
    <row r="688" spans="2:13" outlineLevel="1" x14ac:dyDescent="0.15">
      <c r="C688" s="8"/>
      <c r="D688" s="26"/>
      <c r="E688" s="26"/>
      <c r="F688" s="26"/>
      <c r="G688" s="1081"/>
      <c r="H688" s="1081"/>
      <c r="I688" s="1081"/>
      <c r="J688" s="1081"/>
      <c r="K688" s="1081"/>
      <c r="L688" s="1081"/>
      <c r="M688" s="1081"/>
    </row>
    <row r="689" spans="2:13" outlineLevel="1" x14ac:dyDescent="0.15">
      <c r="B689" s="225" t="s">
        <v>1185</v>
      </c>
      <c r="D689" s="26"/>
      <c r="E689" s="26"/>
      <c r="F689" s="26"/>
      <c r="G689" s="1081"/>
      <c r="H689" s="1081"/>
      <c r="I689" s="1081"/>
      <c r="J689" s="1081"/>
      <c r="K689" s="1081"/>
      <c r="L689" s="1081"/>
      <c r="M689" s="1081"/>
    </row>
    <row r="690" spans="2:13" outlineLevel="1" x14ac:dyDescent="0.15">
      <c r="C690" s="8" t="s">
        <v>1673</v>
      </c>
      <c r="D690" s="26"/>
      <c r="E690" s="26"/>
      <c r="F690" s="26"/>
      <c r="G690" s="1081">
        <f t="shared" ref="G690:M690" ca="1" si="261">G341/G$531</f>
        <v>2.2863567199556166E-4</v>
      </c>
      <c r="H690" s="1081">
        <f t="shared" ca="1" si="261"/>
        <v>2.2863567199556166E-4</v>
      </c>
      <c r="I690" s="1081">
        <f t="shared" ca="1" si="261"/>
        <v>2.2863567199556166E-4</v>
      </c>
      <c r="J690" s="1081">
        <f t="shared" ca="1" si="261"/>
        <v>2.2863567199556166E-4</v>
      </c>
      <c r="K690" s="1081">
        <f t="shared" ca="1" si="261"/>
        <v>2.2863567199556166E-4</v>
      </c>
      <c r="L690" s="1081">
        <f t="shared" ca="1" si="261"/>
        <v>2.2863567199556166E-4</v>
      </c>
      <c r="M690" s="1081">
        <f t="shared" ca="1" si="261"/>
        <v>2.2863567199556166E-4</v>
      </c>
    </row>
    <row r="691" spans="2:13" outlineLevel="1" x14ac:dyDescent="0.15">
      <c r="C691" s="8" t="s">
        <v>1674</v>
      </c>
      <c r="D691" s="26"/>
      <c r="E691" s="26"/>
      <c r="F691" s="26"/>
      <c r="G691" s="1081">
        <f t="shared" ref="G691:M691" ca="1" si="262">G342/G$531</f>
        <v>3.3428475439960421E-4</v>
      </c>
      <c r="H691" s="1081">
        <f t="shared" ca="1" si="262"/>
        <v>3.3428475439960421E-4</v>
      </c>
      <c r="I691" s="1081">
        <f t="shared" ca="1" si="262"/>
        <v>3.3428475439960421E-4</v>
      </c>
      <c r="J691" s="1081">
        <f t="shared" ca="1" si="262"/>
        <v>3.3428475439960421E-4</v>
      </c>
      <c r="K691" s="1081">
        <f t="shared" ca="1" si="262"/>
        <v>3.3428475439960421E-4</v>
      </c>
      <c r="L691" s="1081">
        <f t="shared" ca="1" si="262"/>
        <v>3.3428475439960421E-4</v>
      </c>
      <c r="M691" s="1081">
        <f t="shared" ca="1" si="262"/>
        <v>3.3428475439960421E-4</v>
      </c>
    </row>
    <row r="692" spans="2:13" outlineLevel="1" x14ac:dyDescent="0.15">
      <c r="C692" s="8" t="s">
        <v>1675</v>
      </c>
      <c r="D692" s="26"/>
      <c r="E692" s="26"/>
      <c r="F692" s="26"/>
      <c r="G692" s="1081">
        <f t="shared" ref="G692:M692" ca="1" si="263">G343/G$531</f>
        <v>3.3606269323683231E-5</v>
      </c>
      <c r="H692" s="1081">
        <f t="shared" ca="1" si="263"/>
        <v>3.3606269323683231E-5</v>
      </c>
      <c r="I692" s="1081">
        <f t="shared" ca="1" si="263"/>
        <v>3.3606269323683231E-5</v>
      </c>
      <c r="J692" s="1081">
        <f t="shared" ca="1" si="263"/>
        <v>3.3606269323683231E-5</v>
      </c>
      <c r="K692" s="1081">
        <f t="shared" ca="1" si="263"/>
        <v>3.3606269323683231E-5</v>
      </c>
      <c r="L692" s="1081">
        <f t="shared" ca="1" si="263"/>
        <v>3.3606269323683231E-5</v>
      </c>
      <c r="M692" s="1081">
        <f t="shared" ca="1" si="263"/>
        <v>3.3606269323683231E-5</v>
      </c>
    </row>
    <row r="693" spans="2:13" outlineLevel="1" x14ac:dyDescent="0.15">
      <c r="C693" s="8" t="s">
        <v>1536</v>
      </c>
      <c r="D693" s="26"/>
      <c r="E693" s="26"/>
      <c r="F693" s="26"/>
      <c r="G693" s="1081">
        <f t="shared" ref="G693:M693" ca="1" si="264">G344/G$531</f>
        <v>9.8135784043440938E-5</v>
      </c>
      <c r="H693" s="1081">
        <f t="shared" ca="1" si="264"/>
        <v>9.8135784043440938E-5</v>
      </c>
      <c r="I693" s="1081">
        <f t="shared" ca="1" si="264"/>
        <v>9.8135784043440938E-5</v>
      </c>
      <c r="J693" s="1081">
        <f t="shared" ca="1" si="264"/>
        <v>9.8135784043440938E-5</v>
      </c>
      <c r="K693" s="1081">
        <f t="shared" ca="1" si="264"/>
        <v>9.8135784043440938E-5</v>
      </c>
      <c r="L693" s="1081">
        <f t="shared" ca="1" si="264"/>
        <v>9.8135784043440938E-5</v>
      </c>
      <c r="M693" s="1081">
        <f t="shared" ca="1" si="264"/>
        <v>9.8135784043440938E-5</v>
      </c>
    </row>
    <row r="694" spans="2:13" outlineLevel="1" x14ac:dyDescent="0.15">
      <c r="C694" s="8" t="s">
        <v>1676</v>
      </c>
      <c r="D694" s="26"/>
      <c r="E694" s="26"/>
      <c r="F694" s="26"/>
      <c r="G694" s="1081">
        <f t="shared" ref="G694:M694" ca="1" si="265">G345/G$531</f>
        <v>6.9466247976228998E-4</v>
      </c>
      <c r="H694" s="1081">
        <f t="shared" ca="1" si="265"/>
        <v>6.9466247976228998E-4</v>
      </c>
      <c r="I694" s="1081">
        <f t="shared" ca="1" si="265"/>
        <v>6.9466247976228998E-4</v>
      </c>
      <c r="J694" s="1081">
        <f t="shared" ca="1" si="265"/>
        <v>6.9466247976228998E-4</v>
      </c>
      <c r="K694" s="1081">
        <f t="shared" ca="1" si="265"/>
        <v>6.9466247976228998E-4</v>
      </c>
      <c r="L694" s="1081">
        <f t="shared" ca="1" si="265"/>
        <v>6.9466247976228998E-4</v>
      </c>
      <c r="M694" s="1081">
        <f t="shared" ca="1" si="265"/>
        <v>6.9466247976228998E-4</v>
      </c>
    </row>
    <row r="695" spans="2:13" outlineLevel="1" x14ac:dyDescent="0.15">
      <c r="C695" s="8"/>
      <c r="D695" s="26"/>
      <c r="E695" s="26"/>
      <c r="F695" s="26"/>
      <c r="G695" s="1081"/>
      <c r="H695" s="1081"/>
      <c r="I695" s="1081"/>
      <c r="J695" s="1081"/>
      <c r="K695" s="1081"/>
      <c r="L695" s="1081"/>
      <c r="M695" s="1081"/>
    </row>
    <row r="696" spans="2:13" outlineLevel="1" x14ac:dyDescent="0.15">
      <c r="B696" s="225" t="s">
        <v>1682</v>
      </c>
      <c r="D696" s="26"/>
      <c r="E696" s="26"/>
      <c r="F696" s="26"/>
      <c r="G696" s="1081"/>
      <c r="H696" s="1081"/>
      <c r="I696" s="1081"/>
      <c r="J696" s="1081"/>
      <c r="K696" s="1081"/>
      <c r="L696" s="1081"/>
      <c r="M696" s="1081"/>
    </row>
    <row r="697" spans="2:13" outlineLevel="1" x14ac:dyDescent="0.15">
      <c r="C697" s="8" t="s">
        <v>1673</v>
      </c>
      <c r="D697" s="26"/>
      <c r="E697" s="26"/>
      <c r="F697" s="26"/>
      <c r="G697" s="1081">
        <f t="shared" ref="G697:M697" ca="1" si="266">G348/G$531</f>
        <v>4.9720750335148023E-4</v>
      </c>
      <c r="H697" s="1081">
        <f t="shared" ca="1" si="266"/>
        <v>4.9720750335148023E-4</v>
      </c>
      <c r="I697" s="1081">
        <f t="shared" ca="1" si="266"/>
        <v>4.9720750335148023E-4</v>
      </c>
      <c r="J697" s="1081">
        <f t="shared" ca="1" si="266"/>
        <v>4.9720750335148023E-4</v>
      </c>
      <c r="K697" s="1081">
        <f t="shared" ca="1" si="266"/>
        <v>4.9720750335148023E-4</v>
      </c>
      <c r="L697" s="1081">
        <f t="shared" ca="1" si="266"/>
        <v>4.9720750335148023E-4</v>
      </c>
      <c r="M697" s="1081">
        <f t="shared" ca="1" si="266"/>
        <v>4.9720750335148023E-4</v>
      </c>
    </row>
    <row r="698" spans="2:13" outlineLevel="1" x14ac:dyDescent="0.15">
      <c r="C698" s="8" t="s">
        <v>1674</v>
      </c>
      <c r="D698" s="26"/>
      <c r="E698" s="26"/>
      <c r="F698" s="26"/>
      <c r="G698" s="1081">
        <f t="shared" ref="G698:M698" ca="1" si="267">G349/G$531</f>
        <v>7.6125304592063268E-4</v>
      </c>
      <c r="H698" s="1081">
        <f t="shared" ca="1" si="267"/>
        <v>7.6125304592063268E-4</v>
      </c>
      <c r="I698" s="1081">
        <f t="shared" ca="1" si="267"/>
        <v>7.6125304592063268E-4</v>
      </c>
      <c r="J698" s="1081">
        <f t="shared" ca="1" si="267"/>
        <v>7.6125304592063268E-4</v>
      </c>
      <c r="K698" s="1081">
        <f t="shared" ca="1" si="267"/>
        <v>7.6125304592063268E-4</v>
      </c>
      <c r="L698" s="1081">
        <f t="shared" ca="1" si="267"/>
        <v>7.6125304592063268E-4</v>
      </c>
      <c r="M698" s="1081">
        <f t="shared" ca="1" si="267"/>
        <v>7.6125304592063268E-4</v>
      </c>
    </row>
    <row r="699" spans="2:13" outlineLevel="1" x14ac:dyDescent="0.15">
      <c r="C699" s="8" t="s">
        <v>1675</v>
      </c>
      <c r="D699" s="26"/>
      <c r="E699" s="26"/>
      <c r="F699" s="26"/>
      <c r="G699" s="1081">
        <f t="shared" ref="G699:M699" ca="1" si="268">G350/G$531</f>
        <v>7.6976750157006882E-5</v>
      </c>
      <c r="H699" s="1081">
        <f t="shared" ca="1" si="268"/>
        <v>7.6976750157006882E-5</v>
      </c>
      <c r="I699" s="1081">
        <f t="shared" ca="1" si="268"/>
        <v>7.6976750157006882E-5</v>
      </c>
      <c r="J699" s="1081">
        <f t="shared" ca="1" si="268"/>
        <v>7.6976750157006882E-5</v>
      </c>
      <c r="K699" s="1081">
        <f t="shared" ca="1" si="268"/>
        <v>7.6976750157006882E-5</v>
      </c>
      <c r="L699" s="1081">
        <f t="shared" ca="1" si="268"/>
        <v>7.6976750157006882E-5</v>
      </c>
      <c r="M699" s="1081">
        <f t="shared" ca="1" si="268"/>
        <v>7.6976750157006882E-5</v>
      </c>
    </row>
    <row r="700" spans="2:13" outlineLevel="1" x14ac:dyDescent="0.15">
      <c r="C700" s="8" t="s">
        <v>1536</v>
      </c>
      <c r="D700" s="26"/>
      <c r="E700" s="26"/>
      <c r="F700" s="26"/>
      <c r="G700" s="1081">
        <f t="shared" ref="G700:M700" ca="1" si="269">G351/G$531</f>
        <v>2.1450443650460063E-4</v>
      </c>
      <c r="H700" s="1081">
        <f t="shared" ca="1" si="269"/>
        <v>2.1450443650460063E-4</v>
      </c>
      <c r="I700" s="1081">
        <f t="shared" ca="1" si="269"/>
        <v>2.1450443650460063E-4</v>
      </c>
      <c r="J700" s="1081">
        <f t="shared" ca="1" si="269"/>
        <v>2.1450443650460063E-4</v>
      </c>
      <c r="K700" s="1081">
        <f t="shared" ca="1" si="269"/>
        <v>2.1450443650460063E-4</v>
      </c>
      <c r="L700" s="1081">
        <f t="shared" ca="1" si="269"/>
        <v>2.1450443650460063E-4</v>
      </c>
      <c r="M700" s="1081">
        <f t="shared" ca="1" si="269"/>
        <v>2.1450443650460063E-4</v>
      </c>
    </row>
    <row r="701" spans="2:13" outlineLevel="1" x14ac:dyDescent="0.15">
      <c r="C701" s="8" t="s">
        <v>1676</v>
      </c>
      <c r="D701" s="26"/>
      <c r="E701" s="26"/>
      <c r="F701" s="26"/>
      <c r="G701" s="1081">
        <f t="shared" ref="G701:M701" ca="1" si="270">G352/G$531</f>
        <v>1.5499417359337202E-3</v>
      </c>
      <c r="H701" s="1081">
        <f t="shared" ca="1" si="270"/>
        <v>1.5499417359337202E-3</v>
      </c>
      <c r="I701" s="1081">
        <f t="shared" ca="1" si="270"/>
        <v>1.5499417359337202E-3</v>
      </c>
      <c r="J701" s="1081">
        <f t="shared" ca="1" si="270"/>
        <v>1.5499417359337202E-3</v>
      </c>
      <c r="K701" s="1081">
        <f t="shared" ca="1" si="270"/>
        <v>1.5499417359337202E-3</v>
      </c>
      <c r="L701" s="1081">
        <f t="shared" ca="1" si="270"/>
        <v>1.5499417359337202E-3</v>
      </c>
      <c r="M701" s="1081">
        <f t="shared" ca="1" si="270"/>
        <v>1.5499417359337202E-3</v>
      </c>
    </row>
    <row r="702" spans="2:13" outlineLevel="1" x14ac:dyDescent="0.15">
      <c r="C702" s="8"/>
      <c r="D702" s="26"/>
      <c r="E702" s="26"/>
      <c r="F702" s="26"/>
      <c r="G702" s="1081"/>
      <c r="H702" s="1081"/>
      <c r="I702" s="1081"/>
      <c r="J702" s="1081"/>
      <c r="K702" s="1081"/>
      <c r="L702" s="1081"/>
      <c r="M702" s="1081"/>
    </row>
    <row r="703" spans="2:13" ht="14" outlineLevel="1" x14ac:dyDescent="0.15">
      <c r="B703" s="507" t="s">
        <v>1683</v>
      </c>
      <c r="C703" s="8"/>
      <c r="D703" s="26"/>
      <c r="E703" s="26"/>
      <c r="F703" s="26"/>
      <c r="G703" s="1081"/>
      <c r="H703" s="1081"/>
      <c r="I703" s="1081"/>
      <c r="J703" s="1081"/>
      <c r="K703" s="1081"/>
      <c r="L703" s="1081"/>
      <c r="M703" s="1081"/>
    </row>
    <row r="704" spans="2:13" outlineLevel="1" x14ac:dyDescent="0.15">
      <c r="C704" s="8" t="s">
        <v>1673</v>
      </c>
      <c r="D704" s="26"/>
      <c r="E704" s="26"/>
      <c r="F704" s="26"/>
      <c r="G704" s="1081">
        <f t="shared" ref="G704:M704" ca="1" si="271">G355/G$531</f>
        <v>8.7998589977319863E-3</v>
      </c>
      <c r="H704" s="1081">
        <f t="shared" ca="1" si="271"/>
        <v>8.7998589977319863E-3</v>
      </c>
      <c r="I704" s="1081">
        <f t="shared" ca="1" si="271"/>
        <v>8.7998589977319863E-3</v>
      </c>
      <c r="J704" s="1081">
        <f t="shared" ca="1" si="271"/>
        <v>8.7998589977319863E-3</v>
      </c>
      <c r="K704" s="1081">
        <f t="shared" ca="1" si="271"/>
        <v>8.7998589977319863E-3</v>
      </c>
      <c r="L704" s="1081">
        <f t="shared" ca="1" si="271"/>
        <v>8.7998589977319863E-3</v>
      </c>
      <c r="M704" s="1081">
        <f t="shared" ca="1" si="271"/>
        <v>8.7998589977319863E-3</v>
      </c>
    </row>
    <row r="705" spans="2:13" outlineLevel="1" x14ac:dyDescent="0.15">
      <c r="C705" s="8" t="s">
        <v>1674</v>
      </c>
      <c r="D705" s="26"/>
      <c r="E705" s="26"/>
      <c r="F705" s="26"/>
      <c r="G705" s="1081">
        <f t="shared" ref="G705:M705" ca="1" si="272">G356/G$531</f>
        <v>2.2094310794050834E-2</v>
      </c>
      <c r="H705" s="1081">
        <f t="shared" ca="1" si="272"/>
        <v>2.2094310794050834E-2</v>
      </c>
      <c r="I705" s="1081">
        <f t="shared" ca="1" si="272"/>
        <v>2.2094310794050834E-2</v>
      </c>
      <c r="J705" s="1081">
        <f t="shared" ca="1" si="272"/>
        <v>2.2094310794050834E-2</v>
      </c>
      <c r="K705" s="1081">
        <f t="shared" ca="1" si="272"/>
        <v>2.2094310794050834E-2</v>
      </c>
      <c r="L705" s="1081">
        <f t="shared" ca="1" si="272"/>
        <v>2.2094310794050834E-2</v>
      </c>
      <c r="M705" s="1081">
        <f t="shared" ca="1" si="272"/>
        <v>2.2094310794050834E-2</v>
      </c>
    </row>
    <row r="706" spans="2:13" outlineLevel="1" x14ac:dyDescent="0.15">
      <c r="C706" s="8" t="s">
        <v>1675</v>
      </c>
      <c r="D706" s="26"/>
      <c r="E706" s="26"/>
      <c r="F706" s="26"/>
      <c r="G706" s="1081">
        <f t="shared" ref="G706:M706" ca="1" si="273">G357/G$531</f>
        <v>1.6710673510722473E-3</v>
      </c>
      <c r="H706" s="1081">
        <f t="shared" ca="1" si="273"/>
        <v>1.6710673510722473E-3</v>
      </c>
      <c r="I706" s="1081">
        <f t="shared" ca="1" si="273"/>
        <v>1.6710673510722473E-3</v>
      </c>
      <c r="J706" s="1081">
        <f t="shared" ca="1" si="273"/>
        <v>1.6710673510722473E-3</v>
      </c>
      <c r="K706" s="1081">
        <f t="shared" ca="1" si="273"/>
        <v>1.6710673510722473E-3</v>
      </c>
      <c r="L706" s="1081">
        <f t="shared" ca="1" si="273"/>
        <v>1.6710673510722473E-3</v>
      </c>
      <c r="M706" s="1081">
        <f t="shared" ca="1" si="273"/>
        <v>1.6710673510722473E-3</v>
      </c>
    </row>
    <row r="707" spans="2:13" outlineLevel="1" x14ac:dyDescent="0.15">
      <c r="C707" s="8" t="s">
        <v>1536</v>
      </c>
      <c r="D707" s="26"/>
      <c r="E707" s="26"/>
      <c r="F707" s="26"/>
      <c r="G707" s="1081">
        <f t="shared" ref="G707:M707" ca="1" si="274">G358/G$531</f>
        <v>3.4469412089019424E-3</v>
      </c>
      <c r="H707" s="1081">
        <f t="shared" ca="1" si="274"/>
        <v>3.4469412089019424E-3</v>
      </c>
      <c r="I707" s="1081">
        <f t="shared" ca="1" si="274"/>
        <v>3.4469412089019424E-3</v>
      </c>
      <c r="J707" s="1081">
        <f t="shared" ca="1" si="274"/>
        <v>3.4469412089019424E-3</v>
      </c>
      <c r="K707" s="1081">
        <f t="shared" ca="1" si="274"/>
        <v>3.4469412089019424E-3</v>
      </c>
      <c r="L707" s="1081">
        <f t="shared" ca="1" si="274"/>
        <v>3.4469412089019424E-3</v>
      </c>
      <c r="M707" s="1081">
        <f t="shared" ca="1" si="274"/>
        <v>3.4469412089019424E-3</v>
      </c>
    </row>
    <row r="708" spans="2:13" outlineLevel="1" x14ac:dyDescent="0.15">
      <c r="C708" s="8" t="s">
        <v>1676</v>
      </c>
      <c r="D708" s="26"/>
      <c r="E708" s="26"/>
      <c r="F708" s="26"/>
      <c r="G708" s="1081">
        <f t="shared" ref="G708:M708" ca="1" si="275">G359/G$531</f>
        <v>3.6012178351757011E-2</v>
      </c>
      <c r="H708" s="1081">
        <f t="shared" ca="1" si="275"/>
        <v>3.6012178351757011E-2</v>
      </c>
      <c r="I708" s="1081">
        <f t="shared" ca="1" si="275"/>
        <v>3.6012178351757011E-2</v>
      </c>
      <c r="J708" s="1081">
        <f t="shared" ca="1" si="275"/>
        <v>3.6012178351757011E-2</v>
      </c>
      <c r="K708" s="1081">
        <f t="shared" ca="1" si="275"/>
        <v>3.6012178351757011E-2</v>
      </c>
      <c r="L708" s="1081">
        <f t="shared" ca="1" si="275"/>
        <v>3.6012178351757011E-2</v>
      </c>
      <c r="M708" s="1081">
        <f t="shared" ca="1" si="275"/>
        <v>3.6012178351757011E-2</v>
      </c>
    </row>
    <row r="709" spans="2:13" outlineLevel="1" x14ac:dyDescent="0.15">
      <c r="C709" s="8"/>
      <c r="D709" s="26"/>
      <c r="E709" s="26"/>
      <c r="F709" s="26"/>
      <c r="G709" s="1081"/>
      <c r="H709" s="1081"/>
      <c r="I709" s="1081"/>
      <c r="J709" s="1081"/>
      <c r="K709" s="1081"/>
      <c r="L709" s="1081"/>
      <c r="M709" s="1081"/>
    </row>
    <row r="710" spans="2:13" ht="16" outlineLevel="1" x14ac:dyDescent="0.2">
      <c r="B710" s="5" t="s">
        <v>1684</v>
      </c>
      <c r="C710" s="8"/>
      <c r="D710" s="26"/>
      <c r="E710" s="26"/>
      <c r="F710" s="26"/>
      <c r="G710" s="1081"/>
      <c r="H710" s="1081"/>
      <c r="I710" s="1081"/>
      <c r="J710" s="1081"/>
      <c r="K710" s="1081"/>
      <c r="L710" s="1081"/>
      <c r="M710" s="1081"/>
    </row>
    <row r="711" spans="2:13" ht="14" outlineLevel="1" x14ac:dyDescent="0.15">
      <c r="B711" s="507" t="s">
        <v>1191</v>
      </c>
      <c r="D711" s="26"/>
      <c r="E711" s="26"/>
      <c r="F711" s="26"/>
      <c r="G711" s="1081"/>
      <c r="H711" s="1081"/>
      <c r="I711" s="1081"/>
      <c r="J711" s="1081"/>
      <c r="K711" s="1081"/>
      <c r="L711" s="1081"/>
      <c r="M711" s="1081"/>
    </row>
    <row r="712" spans="2:13" outlineLevel="1" x14ac:dyDescent="0.15">
      <c r="C712" s="8" t="s">
        <v>1673</v>
      </c>
      <c r="D712" s="26"/>
      <c r="E712" s="26"/>
      <c r="F712" s="26"/>
      <c r="G712" s="1081">
        <f t="shared" ref="G712:M712" ca="1" si="276">G363/G$531</f>
        <v>1.7007424770796855E-3</v>
      </c>
      <c r="H712" s="1081">
        <f t="shared" ca="1" si="276"/>
        <v>1.7007424770796855E-3</v>
      </c>
      <c r="I712" s="1081">
        <f t="shared" ca="1" si="276"/>
        <v>1.7007424770796855E-3</v>
      </c>
      <c r="J712" s="1081">
        <f t="shared" ca="1" si="276"/>
        <v>1.7007424770796855E-3</v>
      </c>
      <c r="K712" s="1081">
        <f t="shared" ca="1" si="276"/>
        <v>1.7007424770796855E-3</v>
      </c>
      <c r="L712" s="1081">
        <f t="shared" ca="1" si="276"/>
        <v>1.7007424770796855E-3</v>
      </c>
      <c r="M712" s="1081">
        <f t="shared" ca="1" si="276"/>
        <v>1.7007424770796855E-3</v>
      </c>
    </row>
    <row r="713" spans="2:13" outlineLevel="1" x14ac:dyDescent="0.15">
      <c r="C713" s="8" t="s">
        <v>1674</v>
      </c>
      <c r="D713" s="26"/>
      <c r="E713" s="26"/>
      <c r="F713" s="26"/>
      <c r="G713" s="1081">
        <f t="shared" ref="G713:M713" ca="1" si="277">G364/G$531</f>
        <v>2.1309808699524007E-3</v>
      </c>
      <c r="H713" s="1081">
        <f t="shared" ca="1" si="277"/>
        <v>2.1309808699524007E-3</v>
      </c>
      <c r="I713" s="1081">
        <f t="shared" ca="1" si="277"/>
        <v>2.1309808699524007E-3</v>
      </c>
      <c r="J713" s="1081">
        <f t="shared" ca="1" si="277"/>
        <v>2.1309808699524007E-3</v>
      </c>
      <c r="K713" s="1081">
        <f t="shared" ca="1" si="277"/>
        <v>2.1309808699524007E-3</v>
      </c>
      <c r="L713" s="1081">
        <f t="shared" ca="1" si="277"/>
        <v>2.1309808699524007E-3</v>
      </c>
      <c r="M713" s="1081">
        <f t="shared" ca="1" si="277"/>
        <v>2.1309808699524007E-3</v>
      </c>
    </row>
    <row r="714" spans="2:13" outlineLevel="1" x14ac:dyDescent="0.15">
      <c r="C714" s="8" t="s">
        <v>1675</v>
      </c>
      <c r="D714" s="26"/>
      <c r="E714" s="26"/>
      <c r="F714" s="26"/>
      <c r="G714" s="1081">
        <f t="shared" ref="G714:M714" ca="1" si="278">G365/G$531</f>
        <v>1.8517515173439183E-4</v>
      </c>
      <c r="H714" s="1081">
        <f t="shared" ca="1" si="278"/>
        <v>1.8517515173439183E-4</v>
      </c>
      <c r="I714" s="1081">
        <f t="shared" ca="1" si="278"/>
        <v>1.8517515173439183E-4</v>
      </c>
      <c r="J714" s="1081">
        <f t="shared" ca="1" si="278"/>
        <v>1.8517515173439183E-4</v>
      </c>
      <c r="K714" s="1081">
        <f t="shared" ca="1" si="278"/>
        <v>1.8517515173439183E-4</v>
      </c>
      <c r="L714" s="1081">
        <f t="shared" ca="1" si="278"/>
        <v>1.8517515173439183E-4</v>
      </c>
      <c r="M714" s="1081">
        <f t="shared" ca="1" si="278"/>
        <v>1.8517515173439183E-4</v>
      </c>
    </row>
    <row r="715" spans="2:13" outlineLevel="1" x14ac:dyDescent="0.15">
      <c r="C715" s="8" t="s">
        <v>1536</v>
      </c>
      <c r="D715" s="26"/>
      <c r="E715" s="26"/>
      <c r="F715" s="26"/>
      <c r="G715" s="1081">
        <f t="shared" ref="G715:M715" ca="1" si="279">G366/G$531</f>
        <v>7.4357649811277479E-5</v>
      </c>
      <c r="H715" s="1081">
        <f t="shared" ca="1" si="279"/>
        <v>7.4357649811277479E-5</v>
      </c>
      <c r="I715" s="1081">
        <f t="shared" ca="1" si="279"/>
        <v>7.4357649811277479E-5</v>
      </c>
      <c r="J715" s="1081">
        <f t="shared" ca="1" si="279"/>
        <v>7.4357649811277479E-5</v>
      </c>
      <c r="K715" s="1081">
        <f t="shared" ca="1" si="279"/>
        <v>7.4357649811277479E-5</v>
      </c>
      <c r="L715" s="1081">
        <f t="shared" ca="1" si="279"/>
        <v>7.4357649811277479E-5</v>
      </c>
      <c r="M715" s="1081">
        <f t="shared" ca="1" si="279"/>
        <v>7.4357649811277479E-5</v>
      </c>
    </row>
    <row r="716" spans="2:13" outlineLevel="1" x14ac:dyDescent="0.15">
      <c r="C716" s="8" t="s">
        <v>1676</v>
      </c>
      <c r="D716" s="26"/>
      <c r="E716" s="26"/>
      <c r="F716" s="26"/>
      <c r="G716" s="1081">
        <f t="shared" ref="G716:M716" ca="1" si="280">G367/G$531</f>
        <v>4.0912561485777557E-3</v>
      </c>
      <c r="H716" s="1081">
        <f t="shared" ca="1" si="280"/>
        <v>4.0912561485777557E-3</v>
      </c>
      <c r="I716" s="1081">
        <f t="shared" ca="1" si="280"/>
        <v>4.0912561485777557E-3</v>
      </c>
      <c r="J716" s="1081">
        <f t="shared" ca="1" si="280"/>
        <v>4.0912561485777557E-3</v>
      </c>
      <c r="K716" s="1081">
        <f t="shared" ca="1" si="280"/>
        <v>4.0912561485777557E-3</v>
      </c>
      <c r="L716" s="1081">
        <f t="shared" ca="1" si="280"/>
        <v>4.0912561485777557E-3</v>
      </c>
      <c r="M716" s="1081">
        <f t="shared" ca="1" si="280"/>
        <v>4.0912561485777557E-3</v>
      </c>
    </row>
    <row r="717" spans="2:13" outlineLevel="1" x14ac:dyDescent="0.15">
      <c r="C717" s="8"/>
      <c r="D717" s="26"/>
      <c r="E717" s="26"/>
      <c r="F717" s="26"/>
      <c r="G717" s="1081"/>
      <c r="H717" s="1081"/>
      <c r="I717" s="1081"/>
      <c r="J717" s="1081"/>
      <c r="K717" s="1081"/>
      <c r="L717" s="1081"/>
      <c r="M717" s="1081"/>
    </row>
    <row r="718" spans="2:13" ht="14" outlineLevel="1" x14ac:dyDescent="0.15">
      <c r="B718" s="507" t="s">
        <v>1192</v>
      </c>
      <c r="C718" s="8"/>
      <c r="D718" s="26"/>
      <c r="E718" s="26"/>
      <c r="F718" s="26"/>
      <c r="G718" s="1081"/>
      <c r="H718" s="1081"/>
      <c r="I718" s="1081"/>
      <c r="J718" s="1081"/>
      <c r="K718" s="1081"/>
      <c r="L718" s="1081"/>
      <c r="M718" s="1081"/>
    </row>
    <row r="719" spans="2:13" outlineLevel="1" x14ac:dyDescent="0.15">
      <c r="C719" s="8" t="s">
        <v>1673</v>
      </c>
      <c r="D719" s="26"/>
      <c r="E719" s="26"/>
      <c r="F719" s="26"/>
      <c r="G719" s="1081">
        <f t="shared" ref="G719:M719" ca="1" si="281">G370/G$531</f>
        <v>5.2993606207029009E-3</v>
      </c>
      <c r="H719" s="1081">
        <f t="shared" ca="1" si="281"/>
        <v>5.2993606207029009E-3</v>
      </c>
      <c r="I719" s="1081">
        <f t="shared" ca="1" si="281"/>
        <v>5.2993606207029009E-3</v>
      </c>
      <c r="J719" s="1081">
        <f t="shared" ca="1" si="281"/>
        <v>5.2993606207029009E-3</v>
      </c>
      <c r="K719" s="1081">
        <f t="shared" ca="1" si="281"/>
        <v>5.2993606207029009E-3</v>
      </c>
      <c r="L719" s="1081">
        <f t="shared" ca="1" si="281"/>
        <v>5.2993606207029009E-3</v>
      </c>
      <c r="M719" s="1081">
        <f t="shared" ca="1" si="281"/>
        <v>5.2993606207029009E-3</v>
      </c>
    </row>
    <row r="720" spans="2:13" outlineLevel="1" x14ac:dyDescent="0.15">
      <c r="C720" s="8" t="s">
        <v>1674</v>
      </c>
      <c r="D720" s="26"/>
      <c r="E720" s="26"/>
      <c r="F720" s="26"/>
      <c r="G720" s="1081">
        <f t="shared" ref="G720:M720" ca="1" si="282">G371/G$531</f>
        <v>6.2499665304992609E-3</v>
      </c>
      <c r="H720" s="1081">
        <f t="shared" ca="1" si="282"/>
        <v>6.2499665304992609E-3</v>
      </c>
      <c r="I720" s="1081">
        <f t="shared" ca="1" si="282"/>
        <v>6.2499665304992609E-3</v>
      </c>
      <c r="J720" s="1081">
        <f t="shared" ca="1" si="282"/>
        <v>6.2499665304992609E-3</v>
      </c>
      <c r="K720" s="1081">
        <f t="shared" ca="1" si="282"/>
        <v>6.2499665304992609E-3</v>
      </c>
      <c r="L720" s="1081">
        <f t="shared" ca="1" si="282"/>
        <v>6.2499665304992609E-3</v>
      </c>
      <c r="M720" s="1081">
        <f t="shared" ca="1" si="282"/>
        <v>6.2499665304992609E-3</v>
      </c>
    </row>
    <row r="721" spans="2:13" outlineLevel="1" x14ac:dyDescent="0.15">
      <c r="C721" s="8" t="s">
        <v>1675</v>
      </c>
      <c r="D721" s="26"/>
      <c r="E721" s="26"/>
      <c r="F721" s="26"/>
      <c r="G721" s="1081">
        <f t="shared" ref="G721:M721" ca="1" si="283">G372/G$531</f>
        <v>4.4025414951997887E-4</v>
      </c>
      <c r="H721" s="1081">
        <f t="shared" ca="1" si="283"/>
        <v>4.4025414951997887E-4</v>
      </c>
      <c r="I721" s="1081">
        <f t="shared" ca="1" si="283"/>
        <v>4.4025414951997887E-4</v>
      </c>
      <c r="J721" s="1081">
        <f t="shared" ca="1" si="283"/>
        <v>4.4025414951997887E-4</v>
      </c>
      <c r="K721" s="1081">
        <f t="shared" ca="1" si="283"/>
        <v>4.4025414951997887E-4</v>
      </c>
      <c r="L721" s="1081">
        <f t="shared" ca="1" si="283"/>
        <v>4.4025414951997887E-4</v>
      </c>
      <c r="M721" s="1081">
        <f t="shared" ca="1" si="283"/>
        <v>4.4025414951997887E-4</v>
      </c>
    </row>
    <row r="722" spans="2:13" outlineLevel="1" x14ac:dyDescent="0.15">
      <c r="C722" s="8" t="s">
        <v>1536</v>
      </c>
      <c r="D722" s="26"/>
      <c r="E722" s="26"/>
      <c r="F722" s="26"/>
      <c r="G722" s="1081">
        <f t="shared" ref="G722:M722" ca="1" si="284">G373/G$531</f>
        <v>2.5645084165953322E-4</v>
      </c>
      <c r="H722" s="1081">
        <f t="shared" ca="1" si="284"/>
        <v>2.5645084165953322E-4</v>
      </c>
      <c r="I722" s="1081">
        <f t="shared" ca="1" si="284"/>
        <v>2.5645084165953322E-4</v>
      </c>
      <c r="J722" s="1081">
        <f t="shared" ca="1" si="284"/>
        <v>2.5645084165953322E-4</v>
      </c>
      <c r="K722" s="1081">
        <f t="shared" ca="1" si="284"/>
        <v>2.5645084165953322E-4</v>
      </c>
      <c r="L722" s="1081">
        <f t="shared" ca="1" si="284"/>
        <v>2.5645084165953322E-4</v>
      </c>
      <c r="M722" s="1081">
        <f t="shared" ca="1" si="284"/>
        <v>2.5645084165953322E-4</v>
      </c>
    </row>
    <row r="723" spans="2:13" outlineLevel="1" x14ac:dyDescent="0.15">
      <c r="C723" s="8" t="s">
        <v>1676</v>
      </c>
      <c r="D723" s="26"/>
      <c r="E723" s="26"/>
      <c r="F723" s="26"/>
      <c r="G723" s="1081">
        <f t="shared" ref="G723:M723" ca="1" si="285">G374/G$531</f>
        <v>1.2246032142381673E-2</v>
      </c>
      <c r="H723" s="1081">
        <f t="shared" ca="1" si="285"/>
        <v>1.2246032142381673E-2</v>
      </c>
      <c r="I723" s="1081">
        <f t="shared" ca="1" si="285"/>
        <v>1.2246032142381673E-2</v>
      </c>
      <c r="J723" s="1081">
        <f t="shared" ca="1" si="285"/>
        <v>1.2246032142381673E-2</v>
      </c>
      <c r="K723" s="1081">
        <f t="shared" ca="1" si="285"/>
        <v>1.2246032142381673E-2</v>
      </c>
      <c r="L723" s="1081">
        <f t="shared" ca="1" si="285"/>
        <v>1.2246032142381673E-2</v>
      </c>
      <c r="M723" s="1081">
        <f t="shared" ca="1" si="285"/>
        <v>1.2246032142381673E-2</v>
      </c>
    </row>
    <row r="724" spans="2:13" outlineLevel="1" x14ac:dyDescent="0.15">
      <c r="C724" s="8"/>
      <c r="D724" s="26"/>
      <c r="E724" s="26"/>
      <c r="F724" s="26"/>
      <c r="G724" s="1081"/>
      <c r="H724" s="1081"/>
      <c r="I724" s="1081"/>
      <c r="J724" s="1081"/>
      <c r="K724" s="1081"/>
      <c r="L724" s="1081"/>
      <c r="M724" s="1081"/>
    </row>
    <row r="725" spans="2:13" ht="14" outlineLevel="1" x14ac:dyDescent="0.15">
      <c r="B725" s="507" t="s">
        <v>1195</v>
      </c>
      <c r="C725" s="8"/>
      <c r="D725" s="26"/>
      <c r="E725" s="26"/>
      <c r="F725" s="26"/>
      <c r="G725" s="1081"/>
      <c r="H725" s="1081"/>
      <c r="I725" s="1081"/>
      <c r="J725" s="1081"/>
      <c r="K725" s="1081"/>
      <c r="L725" s="1081"/>
      <c r="M725" s="1081"/>
    </row>
    <row r="726" spans="2:13" outlineLevel="1" x14ac:dyDescent="0.15">
      <c r="C726" s="8" t="s">
        <v>1673</v>
      </c>
      <c r="D726" s="26"/>
      <c r="E726" s="26"/>
      <c r="F726" s="26"/>
      <c r="G726" s="1081">
        <f t="shared" ref="G726:M726" ca="1" si="286">G377/G$531</f>
        <v>1.3638414402473249E-3</v>
      </c>
      <c r="H726" s="1081">
        <f t="shared" ca="1" si="286"/>
        <v>1.3638414402473249E-3</v>
      </c>
      <c r="I726" s="1081">
        <f t="shared" ca="1" si="286"/>
        <v>1.3638414402473249E-3</v>
      </c>
      <c r="J726" s="1081">
        <f t="shared" ca="1" si="286"/>
        <v>1.3638414402473249E-3</v>
      </c>
      <c r="K726" s="1081">
        <f t="shared" ca="1" si="286"/>
        <v>1.3638414402473249E-3</v>
      </c>
      <c r="L726" s="1081">
        <f t="shared" ca="1" si="286"/>
        <v>1.3638414402473249E-3</v>
      </c>
      <c r="M726" s="1081">
        <f t="shared" ca="1" si="286"/>
        <v>1.3638414402473249E-3</v>
      </c>
    </row>
    <row r="727" spans="2:13" outlineLevel="1" x14ac:dyDescent="0.15">
      <c r="C727" s="8" t="s">
        <v>1674</v>
      </c>
      <c r="D727" s="26"/>
      <c r="E727" s="26"/>
      <c r="F727" s="26"/>
      <c r="G727" s="1081">
        <f t="shared" ref="G727:M727" ca="1" si="287">G378/G$531</f>
        <v>6.8109609216456448E-3</v>
      </c>
      <c r="H727" s="1081">
        <f t="shared" ca="1" si="287"/>
        <v>6.8109609216456448E-3</v>
      </c>
      <c r="I727" s="1081">
        <f t="shared" ca="1" si="287"/>
        <v>6.8109609216456448E-3</v>
      </c>
      <c r="J727" s="1081">
        <f t="shared" ca="1" si="287"/>
        <v>6.8109609216456448E-3</v>
      </c>
      <c r="K727" s="1081">
        <f t="shared" ca="1" si="287"/>
        <v>6.8109609216456448E-3</v>
      </c>
      <c r="L727" s="1081">
        <f t="shared" ca="1" si="287"/>
        <v>6.8109609216456448E-3</v>
      </c>
      <c r="M727" s="1081">
        <f t="shared" ca="1" si="287"/>
        <v>6.8109609216456448E-3</v>
      </c>
    </row>
    <row r="728" spans="2:13" outlineLevel="1" x14ac:dyDescent="0.15">
      <c r="C728" s="8" t="s">
        <v>1675</v>
      </c>
      <c r="D728" s="26"/>
      <c r="E728" s="26"/>
      <c r="F728" s="26"/>
      <c r="G728" s="1081">
        <f t="shared" ref="G728:M728" ca="1" si="288">G379/G$531</f>
        <v>1.0868756674763188E-4</v>
      </c>
      <c r="H728" s="1081">
        <f t="shared" ca="1" si="288"/>
        <v>1.0868756674763188E-4</v>
      </c>
      <c r="I728" s="1081">
        <f t="shared" ca="1" si="288"/>
        <v>1.0868756674763188E-4</v>
      </c>
      <c r="J728" s="1081">
        <f t="shared" ca="1" si="288"/>
        <v>1.0868756674763188E-4</v>
      </c>
      <c r="K728" s="1081">
        <f t="shared" ca="1" si="288"/>
        <v>1.0868756674763188E-4</v>
      </c>
      <c r="L728" s="1081">
        <f t="shared" ca="1" si="288"/>
        <v>1.0868756674763188E-4</v>
      </c>
      <c r="M728" s="1081">
        <f t="shared" ca="1" si="288"/>
        <v>1.0868756674763188E-4</v>
      </c>
    </row>
    <row r="729" spans="2:13" outlineLevel="1" x14ac:dyDescent="0.15">
      <c r="C729" s="8" t="s">
        <v>1536</v>
      </c>
      <c r="D729" s="26"/>
      <c r="E729" s="26"/>
      <c r="F729" s="26"/>
      <c r="G729" s="1081">
        <f t="shared" ref="G729:M729" ca="1" si="289">G380/G$531</f>
        <v>9.6169065622324977E-5</v>
      </c>
      <c r="H729" s="1081">
        <f t="shared" ca="1" si="289"/>
        <v>9.6169065622324977E-5</v>
      </c>
      <c r="I729" s="1081">
        <f t="shared" ca="1" si="289"/>
        <v>9.6169065622324977E-5</v>
      </c>
      <c r="J729" s="1081">
        <f t="shared" ca="1" si="289"/>
        <v>9.6169065622324977E-5</v>
      </c>
      <c r="K729" s="1081">
        <f t="shared" ca="1" si="289"/>
        <v>9.6169065622324977E-5</v>
      </c>
      <c r="L729" s="1081">
        <f t="shared" ca="1" si="289"/>
        <v>9.6169065622324977E-5</v>
      </c>
      <c r="M729" s="1081">
        <f t="shared" ca="1" si="289"/>
        <v>9.6169065622324977E-5</v>
      </c>
    </row>
    <row r="730" spans="2:13" outlineLevel="1" x14ac:dyDescent="0.15">
      <c r="C730" s="8" t="s">
        <v>1676</v>
      </c>
      <c r="D730" s="26"/>
      <c r="E730" s="26"/>
      <c r="F730" s="26"/>
      <c r="G730" s="1081">
        <f t="shared" ref="G730:M730" ca="1" si="290">G381/G$531</f>
        <v>8.3796589942629271E-3</v>
      </c>
      <c r="H730" s="1081">
        <f t="shared" ca="1" si="290"/>
        <v>8.3796589942629271E-3</v>
      </c>
      <c r="I730" s="1081">
        <f t="shared" ca="1" si="290"/>
        <v>8.3796589942629271E-3</v>
      </c>
      <c r="J730" s="1081">
        <f t="shared" ca="1" si="290"/>
        <v>8.3796589942629271E-3</v>
      </c>
      <c r="K730" s="1081">
        <f t="shared" ca="1" si="290"/>
        <v>8.3796589942629271E-3</v>
      </c>
      <c r="L730" s="1081">
        <f t="shared" ca="1" si="290"/>
        <v>8.3796589942629271E-3</v>
      </c>
      <c r="M730" s="1081">
        <f t="shared" ca="1" si="290"/>
        <v>8.3796589942629271E-3</v>
      </c>
    </row>
    <row r="731" spans="2:13" outlineLevel="1" x14ac:dyDescent="0.15">
      <c r="C731" s="8"/>
      <c r="D731" s="26"/>
      <c r="E731" s="26"/>
      <c r="F731" s="26"/>
      <c r="G731" s="1081"/>
      <c r="H731" s="1081"/>
      <c r="I731" s="1081"/>
      <c r="J731" s="1081"/>
      <c r="K731" s="1081"/>
      <c r="L731" s="1081"/>
      <c r="M731" s="1081"/>
    </row>
    <row r="732" spans="2:13" ht="14" outlineLevel="1" x14ac:dyDescent="0.15">
      <c r="B732" s="507" t="s">
        <v>1197</v>
      </c>
      <c r="D732" s="26"/>
      <c r="E732" s="26"/>
      <c r="F732" s="26"/>
      <c r="G732" s="1081"/>
      <c r="H732" s="1081"/>
      <c r="I732" s="1081"/>
      <c r="J732" s="1081"/>
      <c r="K732" s="1081"/>
      <c r="L732" s="1081"/>
      <c r="M732" s="1081"/>
    </row>
    <row r="733" spans="2:13" outlineLevel="1" x14ac:dyDescent="0.15">
      <c r="C733" s="8" t="s">
        <v>1673</v>
      </c>
      <c r="D733" s="26"/>
      <c r="E733" s="26"/>
      <c r="F733" s="26"/>
      <c r="G733" s="1081">
        <f t="shared" ref="G733:M733" ca="1" si="291">G384/G$531</f>
        <v>1.3638414402473249E-3</v>
      </c>
      <c r="H733" s="1081">
        <f t="shared" ca="1" si="291"/>
        <v>1.3638414402473249E-3</v>
      </c>
      <c r="I733" s="1081">
        <f t="shared" ca="1" si="291"/>
        <v>1.3638414402473249E-3</v>
      </c>
      <c r="J733" s="1081">
        <f t="shared" ca="1" si="291"/>
        <v>1.3638414402473249E-3</v>
      </c>
      <c r="K733" s="1081">
        <f t="shared" ca="1" si="291"/>
        <v>1.3638414402473249E-3</v>
      </c>
      <c r="L733" s="1081">
        <f t="shared" ca="1" si="291"/>
        <v>1.3638414402473249E-3</v>
      </c>
      <c r="M733" s="1081">
        <f t="shared" ca="1" si="291"/>
        <v>1.3638414402473249E-3</v>
      </c>
    </row>
    <row r="734" spans="2:13" outlineLevel="1" x14ac:dyDescent="0.15">
      <c r="C734" s="8" t="s">
        <v>1674</v>
      </c>
      <c r="D734" s="26"/>
      <c r="E734" s="26"/>
      <c r="F734" s="26"/>
      <c r="G734" s="1081">
        <f t="shared" ref="G734:M734" ca="1" si="292">G385/G$531</f>
        <v>4.9123889688282437E-4</v>
      </c>
      <c r="H734" s="1081">
        <f t="shared" ca="1" si="292"/>
        <v>4.9123889688282437E-4</v>
      </c>
      <c r="I734" s="1081">
        <f t="shared" ca="1" si="292"/>
        <v>4.9123889688282437E-4</v>
      </c>
      <c r="J734" s="1081">
        <f t="shared" ca="1" si="292"/>
        <v>4.9123889688282437E-4</v>
      </c>
      <c r="K734" s="1081">
        <f t="shared" ca="1" si="292"/>
        <v>4.9123889688282437E-4</v>
      </c>
      <c r="L734" s="1081">
        <f t="shared" ca="1" si="292"/>
        <v>4.9123889688282437E-4</v>
      </c>
      <c r="M734" s="1081">
        <f t="shared" ca="1" si="292"/>
        <v>4.9123889688282437E-4</v>
      </c>
    </row>
    <row r="735" spans="2:13" outlineLevel="1" x14ac:dyDescent="0.15">
      <c r="C735" s="8" t="s">
        <v>1675</v>
      </c>
      <c r="D735" s="26"/>
      <c r="E735" s="26"/>
      <c r="F735" s="26"/>
      <c r="G735" s="1081">
        <f t="shared" ref="G735:M735" ca="1" si="293">G386/G$531</f>
        <v>1.3512508298354234E-4</v>
      </c>
      <c r="H735" s="1081">
        <f t="shared" ca="1" si="293"/>
        <v>1.3512508298354234E-4</v>
      </c>
      <c r="I735" s="1081">
        <f t="shared" ca="1" si="293"/>
        <v>1.3512508298354234E-4</v>
      </c>
      <c r="J735" s="1081">
        <f t="shared" ca="1" si="293"/>
        <v>1.3512508298354234E-4</v>
      </c>
      <c r="K735" s="1081">
        <f t="shared" ca="1" si="293"/>
        <v>1.3512508298354234E-4</v>
      </c>
      <c r="L735" s="1081">
        <f t="shared" ca="1" si="293"/>
        <v>1.3512508298354234E-4</v>
      </c>
      <c r="M735" s="1081">
        <f t="shared" ca="1" si="293"/>
        <v>1.3512508298354234E-4</v>
      </c>
    </row>
    <row r="736" spans="2:13" outlineLevel="1" x14ac:dyDescent="0.15">
      <c r="C736" s="8" t="s">
        <v>1536</v>
      </c>
      <c r="D736" s="26"/>
      <c r="E736" s="26"/>
      <c r="F736" s="26"/>
      <c r="G736" s="1081">
        <f t="shared" ref="G736:M736" ca="1" si="294">G387/G$531</f>
        <v>2.1370903471627766E-5</v>
      </c>
      <c r="H736" s="1081">
        <f t="shared" ca="1" si="294"/>
        <v>2.1370903471627766E-5</v>
      </c>
      <c r="I736" s="1081">
        <f t="shared" ca="1" si="294"/>
        <v>2.1370903471627766E-5</v>
      </c>
      <c r="J736" s="1081">
        <f t="shared" ca="1" si="294"/>
        <v>2.1370903471627766E-5</v>
      </c>
      <c r="K736" s="1081">
        <f t="shared" ca="1" si="294"/>
        <v>2.1370903471627766E-5</v>
      </c>
      <c r="L736" s="1081">
        <f t="shared" ca="1" si="294"/>
        <v>2.1370903471627766E-5</v>
      </c>
      <c r="M736" s="1081">
        <f t="shared" ca="1" si="294"/>
        <v>2.1370903471627766E-5</v>
      </c>
    </row>
    <row r="737" spans="2:13" outlineLevel="1" x14ac:dyDescent="0.15">
      <c r="C737" s="8" t="s">
        <v>1676</v>
      </c>
      <c r="D737" s="26"/>
      <c r="E737" s="26"/>
      <c r="F737" s="26"/>
      <c r="G737" s="1081">
        <f t="shared" ref="G737:M737" ca="1" si="295">G388/G$531</f>
        <v>2.0115763235853193E-3</v>
      </c>
      <c r="H737" s="1081">
        <f t="shared" ca="1" si="295"/>
        <v>2.0115763235853193E-3</v>
      </c>
      <c r="I737" s="1081">
        <f t="shared" ca="1" si="295"/>
        <v>2.0115763235853193E-3</v>
      </c>
      <c r="J737" s="1081">
        <f t="shared" ca="1" si="295"/>
        <v>2.0115763235853193E-3</v>
      </c>
      <c r="K737" s="1081">
        <f t="shared" ca="1" si="295"/>
        <v>2.0115763235853193E-3</v>
      </c>
      <c r="L737" s="1081">
        <f t="shared" ca="1" si="295"/>
        <v>2.0115763235853193E-3</v>
      </c>
      <c r="M737" s="1081">
        <f t="shared" ca="1" si="295"/>
        <v>2.0115763235853193E-3</v>
      </c>
    </row>
    <row r="738" spans="2:13" outlineLevel="1" x14ac:dyDescent="0.15">
      <c r="C738" s="8"/>
      <c r="D738" s="26"/>
      <c r="E738" s="26"/>
      <c r="F738" s="26"/>
      <c r="G738" s="1081"/>
      <c r="H738" s="1081"/>
      <c r="I738" s="1081"/>
      <c r="J738" s="1081"/>
      <c r="K738" s="1081"/>
      <c r="L738" s="1081"/>
      <c r="M738" s="1081"/>
    </row>
    <row r="739" spans="2:13" ht="14" outlineLevel="1" x14ac:dyDescent="0.15">
      <c r="B739" s="507" t="s">
        <v>1198</v>
      </c>
      <c r="C739" s="8"/>
      <c r="D739" s="26"/>
      <c r="E739" s="26"/>
      <c r="F739" s="26"/>
      <c r="G739" s="1081"/>
      <c r="H739" s="1081"/>
      <c r="I739" s="1081"/>
      <c r="J739" s="1081"/>
      <c r="K739" s="1081"/>
      <c r="L739" s="1081"/>
      <c r="M739" s="1081"/>
    </row>
    <row r="740" spans="2:13" outlineLevel="1" x14ac:dyDescent="0.15">
      <c r="C740" s="8" t="s">
        <v>1673</v>
      </c>
      <c r="D740" s="26"/>
      <c r="E740" s="26"/>
      <c r="F740" s="26"/>
      <c r="G740" s="1081">
        <f t="shared" ref="G740:M740" ca="1" si="296">G391/G$531</f>
        <v>3.7126794762288277E-4</v>
      </c>
      <c r="H740" s="1081">
        <f t="shared" ca="1" si="296"/>
        <v>3.7126794762288277E-4</v>
      </c>
      <c r="I740" s="1081">
        <f t="shared" ca="1" si="296"/>
        <v>3.7126794762288277E-4</v>
      </c>
      <c r="J740" s="1081">
        <f t="shared" ca="1" si="296"/>
        <v>3.7126794762288277E-4</v>
      </c>
      <c r="K740" s="1081">
        <f t="shared" ca="1" si="296"/>
        <v>3.7126794762288277E-4</v>
      </c>
      <c r="L740" s="1081">
        <f t="shared" ca="1" si="296"/>
        <v>3.7126794762288277E-4</v>
      </c>
      <c r="M740" s="1081">
        <f t="shared" ca="1" si="296"/>
        <v>3.7126794762288277E-4</v>
      </c>
    </row>
    <row r="741" spans="2:13" outlineLevel="1" x14ac:dyDescent="0.15">
      <c r="C741" s="8" t="s">
        <v>1674</v>
      </c>
      <c r="D741" s="26"/>
      <c r="E741" s="26"/>
      <c r="F741" s="26"/>
      <c r="G741" s="1081">
        <f t="shared" ref="G741:M741" ca="1" si="297">G392/G$531</f>
        <v>3.9640513300583119E-4</v>
      </c>
      <c r="H741" s="1081">
        <f t="shared" ca="1" si="297"/>
        <v>3.9640513300583119E-4</v>
      </c>
      <c r="I741" s="1081">
        <f t="shared" ca="1" si="297"/>
        <v>3.9640513300583119E-4</v>
      </c>
      <c r="J741" s="1081">
        <f t="shared" ca="1" si="297"/>
        <v>3.9640513300583119E-4</v>
      </c>
      <c r="K741" s="1081">
        <f t="shared" ca="1" si="297"/>
        <v>3.9640513300583119E-4</v>
      </c>
      <c r="L741" s="1081">
        <f t="shared" ca="1" si="297"/>
        <v>3.9640513300583119E-4</v>
      </c>
      <c r="M741" s="1081">
        <f t="shared" ca="1" si="297"/>
        <v>3.9640513300583119E-4</v>
      </c>
    </row>
    <row r="742" spans="2:13" outlineLevel="1" x14ac:dyDescent="0.15">
      <c r="C742" s="8" t="s">
        <v>1675</v>
      </c>
      <c r="D742" s="26"/>
      <c r="E742" s="26"/>
      <c r="F742" s="26"/>
      <c r="G742" s="1081">
        <f t="shared" ref="G742:M742" ca="1" si="298">G393/G$531</f>
        <v>1.3806258478753241E-4</v>
      </c>
      <c r="H742" s="1081">
        <f t="shared" ca="1" si="298"/>
        <v>1.3806258478753241E-4</v>
      </c>
      <c r="I742" s="1081">
        <f t="shared" ca="1" si="298"/>
        <v>1.3806258478753241E-4</v>
      </c>
      <c r="J742" s="1081">
        <f t="shared" ca="1" si="298"/>
        <v>1.3806258478753241E-4</v>
      </c>
      <c r="K742" s="1081">
        <f t="shared" ca="1" si="298"/>
        <v>1.3806258478753241E-4</v>
      </c>
      <c r="L742" s="1081">
        <f t="shared" ca="1" si="298"/>
        <v>1.3806258478753241E-4</v>
      </c>
      <c r="M742" s="1081">
        <f t="shared" ca="1" si="298"/>
        <v>1.3806258478753241E-4</v>
      </c>
    </row>
    <row r="743" spans="2:13" outlineLevel="1" x14ac:dyDescent="0.15">
      <c r="C743" s="8" t="s">
        <v>1536</v>
      </c>
      <c r="D743" s="26"/>
      <c r="E743" s="26"/>
      <c r="F743" s="26"/>
      <c r="G743" s="1081">
        <f t="shared" ref="G743:M743" ca="1" si="299">G394/G$531</f>
        <v>5.3427258679069425E-5</v>
      </c>
      <c r="H743" s="1081">
        <f t="shared" ca="1" si="299"/>
        <v>5.3427258679069425E-5</v>
      </c>
      <c r="I743" s="1081">
        <f t="shared" ca="1" si="299"/>
        <v>5.3427258679069425E-5</v>
      </c>
      <c r="J743" s="1081">
        <f t="shared" ca="1" si="299"/>
        <v>5.3427258679069425E-5</v>
      </c>
      <c r="K743" s="1081">
        <f t="shared" ca="1" si="299"/>
        <v>5.3427258679069425E-5</v>
      </c>
      <c r="L743" s="1081">
        <f t="shared" ca="1" si="299"/>
        <v>5.3427258679069425E-5</v>
      </c>
      <c r="M743" s="1081">
        <f t="shared" ca="1" si="299"/>
        <v>5.3427258679069425E-5</v>
      </c>
    </row>
    <row r="744" spans="2:13" outlineLevel="1" x14ac:dyDescent="0.15">
      <c r="C744" s="8" t="s">
        <v>1676</v>
      </c>
      <c r="D744" s="26"/>
      <c r="E744" s="26"/>
      <c r="F744" s="26"/>
      <c r="G744" s="1081">
        <f t="shared" ref="G744:M744" ca="1" si="300">G395/G$531</f>
        <v>9.5916292409531573E-4</v>
      </c>
      <c r="H744" s="1081">
        <f t="shared" ca="1" si="300"/>
        <v>9.5916292409531573E-4</v>
      </c>
      <c r="I744" s="1081">
        <f t="shared" ca="1" si="300"/>
        <v>9.5916292409531573E-4</v>
      </c>
      <c r="J744" s="1081">
        <f t="shared" ca="1" si="300"/>
        <v>9.5916292409531573E-4</v>
      </c>
      <c r="K744" s="1081">
        <f t="shared" ca="1" si="300"/>
        <v>9.5916292409531573E-4</v>
      </c>
      <c r="L744" s="1081">
        <f t="shared" ca="1" si="300"/>
        <v>9.5916292409531573E-4</v>
      </c>
      <c r="M744" s="1081">
        <f t="shared" ca="1" si="300"/>
        <v>9.5916292409531573E-4</v>
      </c>
    </row>
    <row r="745" spans="2:13" outlineLevel="1" x14ac:dyDescent="0.15">
      <c r="C745" s="8"/>
      <c r="D745" s="26"/>
      <c r="E745" s="26"/>
      <c r="F745" s="26"/>
      <c r="G745" s="1081"/>
      <c r="H745" s="1081"/>
      <c r="I745" s="1081"/>
      <c r="J745" s="1081"/>
      <c r="K745" s="1081"/>
      <c r="L745" s="1081"/>
      <c r="M745" s="1081"/>
    </row>
    <row r="746" spans="2:13" ht="14" outlineLevel="1" x14ac:dyDescent="0.15">
      <c r="B746" s="507" t="s">
        <v>1199</v>
      </c>
      <c r="C746" s="8"/>
      <c r="D746" s="26"/>
      <c r="E746" s="26"/>
      <c r="F746" s="26"/>
      <c r="G746" s="1081"/>
      <c r="H746" s="1081"/>
      <c r="I746" s="1081"/>
      <c r="J746" s="1081"/>
      <c r="K746" s="1081"/>
      <c r="L746" s="1081"/>
      <c r="M746" s="1081"/>
    </row>
    <row r="747" spans="2:13" outlineLevel="1" x14ac:dyDescent="0.15">
      <c r="C747" s="8" t="s">
        <v>1673</v>
      </c>
      <c r="D747" s="26"/>
      <c r="E747" s="26"/>
      <c r="F747" s="26"/>
      <c r="G747" s="1081">
        <f t="shared" ref="G747:M747" ca="1" si="301">G398/G$531</f>
        <v>9.8499659573417892E-4</v>
      </c>
      <c r="H747" s="1081">
        <f t="shared" ca="1" si="301"/>
        <v>9.8499659573417892E-4</v>
      </c>
      <c r="I747" s="1081">
        <f t="shared" ca="1" si="301"/>
        <v>9.8499659573417892E-4</v>
      </c>
      <c r="J747" s="1081">
        <f t="shared" ca="1" si="301"/>
        <v>9.8499659573417892E-4</v>
      </c>
      <c r="K747" s="1081">
        <f t="shared" ca="1" si="301"/>
        <v>9.8499659573417892E-4</v>
      </c>
      <c r="L747" s="1081">
        <f t="shared" ca="1" si="301"/>
        <v>9.8499659573417892E-4</v>
      </c>
      <c r="M747" s="1081">
        <f t="shared" ca="1" si="301"/>
        <v>9.8499659573417892E-4</v>
      </c>
    </row>
    <row r="748" spans="2:13" outlineLevel="1" x14ac:dyDescent="0.15">
      <c r="C748" s="8" t="s">
        <v>1674</v>
      </c>
      <c r="G748" s="1081">
        <f t="shared" ref="G748:M748" ca="1" si="302">G399/G$531</f>
        <v>9.0092075683143448E-4</v>
      </c>
      <c r="H748" s="1081">
        <f t="shared" ca="1" si="302"/>
        <v>9.0092075683143448E-4</v>
      </c>
      <c r="I748" s="1081">
        <f t="shared" ca="1" si="302"/>
        <v>9.0092075683143448E-4</v>
      </c>
      <c r="J748" s="1081">
        <f t="shared" ca="1" si="302"/>
        <v>9.0092075683143448E-4</v>
      </c>
      <c r="K748" s="1081">
        <f t="shared" ca="1" si="302"/>
        <v>9.0092075683143448E-4</v>
      </c>
      <c r="L748" s="1081">
        <f t="shared" ca="1" si="302"/>
        <v>9.0092075683143448E-4</v>
      </c>
      <c r="M748" s="1081">
        <f t="shared" ca="1" si="302"/>
        <v>9.0092075683143448E-4</v>
      </c>
    </row>
    <row r="749" spans="2:13" outlineLevel="1" x14ac:dyDescent="0.15">
      <c r="C749" s="8" t="s">
        <v>1675</v>
      </c>
      <c r="D749" s="26"/>
      <c r="E749" s="26"/>
      <c r="F749" s="26"/>
      <c r="G749" s="1081">
        <f t="shared" ref="G749:M749" ca="1" si="303">G400/G$531</f>
        <v>3.2312519843890556E-4</v>
      </c>
      <c r="H749" s="1081">
        <f t="shared" ca="1" si="303"/>
        <v>3.2312519843890556E-4</v>
      </c>
      <c r="I749" s="1081">
        <f t="shared" ca="1" si="303"/>
        <v>3.2312519843890556E-4</v>
      </c>
      <c r="J749" s="1081">
        <f t="shared" ca="1" si="303"/>
        <v>3.2312519843890556E-4</v>
      </c>
      <c r="K749" s="1081">
        <f t="shared" ca="1" si="303"/>
        <v>3.2312519843890556E-4</v>
      </c>
      <c r="L749" s="1081">
        <f t="shared" ca="1" si="303"/>
        <v>3.2312519843890556E-4</v>
      </c>
      <c r="M749" s="1081">
        <f t="shared" ca="1" si="303"/>
        <v>3.2312519843890556E-4</v>
      </c>
    </row>
    <row r="750" spans="2:13" outlineLevel="1" x14ac:dyDescent="0.15">
      <c r="C750" s="8" t="s">
        <v>1536</v>
      </c>
      <c r="D750" s="26"/>
      <c r="E750" s="26"/>
      <c r="F750" s="26"/>
      <c r="G750" s="1081">
        <f t="shared" ref="G750:M750" ca="1" si="304">G401/G$531</f>
        <v>1.2822542082976661E-4</v>
      </c>
      <c r="H750" s="1081">
        <f t="shared" ca="1" si="304"/>
        <v>1.2822542082976661E-4</v>
      </c>
      <c r="I750" s="1081">
        <f t="shared" ca="1" si="304"/>
        <v>1.2822542082976661E-4</v>
      </c>
      <c r="J750" s="1081">
        <f t="shared" ca="1" si="304"/>
        <v>1.2822542082976661E-4</v>
      </c>
      <c r="K750" s="1081">
        <f t="shared" ca="1" si="304"/>
        <v>1.2822542082976661E-4</v>
      </c>
      <c r="L750" s="1081">
        <f t="shared" ca="1" si="304"/>
        <v>1.2822542082976661E-4</v>
      </c>
      <c r="M750" s="1081">
        <f t="shared" ca="1" si="304"/>
        <v>1.2822542082976661E-4</v>
      </c>
    </row>
    <row r="751" spans="2:13" outlineLevel="1" x14ac:dyDescent="0.15">
      <c r="C751" s="8" t="s">
        <v>1676</v>
      </c>
      <c r="D751" s="26"/>
      <c r="E751" s="26"/>
      <c r="F751" s="26"/>
      <c r="G751" s="1081">
        <f t="shared" ref="G751:M751" ca="1" si="305">G402/G$531</f>
        <v>2.3372679718342854E-3</v>
      </c>
      <c r="H751" s="1081">
        <f t="shared" ca="1" si="305"/>
        <v>2.3372679718342854E-3</v>
      </c>
      <c r="I751" s="1081">
        <f t="shared" ca="1" si="305"/>
        <v>2.3372679718342854E-3</v>
      </c>
      <c r="J751" s="1081">
        <f t="shared" ca="1" si="305"/>
        <v>2.3372679718342854E-3</v>
      </c>
      <c r="K751" s="1081">
        <f t="shared" ca="1" si="305"/>
        <v>2.3372679718342854E-3</v>
      </c>
      <c r="L751" s="1081">
        <f t="shared" ca="1" si="305"/>
        <v>2.3372679718342854E-3</v>
      </c>
      <c r="M751" s="1081">
        <f t="shared" ca="1" si="305"/>
        <v>2.3372679718342854E-3</v>
      </c>
    </row>
    <row r="752" spans="2:13" outlineLevel="1" x14ac:dyDescent="0.15">
      <c r="C752" s="8"/>
      <c r="D752" s="26"/>
      <c r="E752" s="26"/>
      <c r="F752" s="26"/>
      <c r="G752" s="1081"/>
      <c r="H752" s="1081"/>
      <c r="I752" s="1081"/>
      <c r="J752" s="1081"/>
      <c r="K752" s="1081"/>
      <c r="L752" s="1081"/>
      <c r="M752" s="1081"/>
    </row>
    <row r="753" spans="2:13" ht="14" outlineLevel="1" x14ac:dyDescent="0.15">
      <c r="B753" s="507" t="s">
        <v>1685</v>
      </c>
      <c r="C753" s="8"/>
      <c r="D753" s="26"/>
      <c r="E753" s="26"/>
      <c r="F753" s="26"/>
      <c r="G753" s="1081"/>
      <c r="H753" s="1081"/>
      <c r="I753" s="1081"/>
      <c r="J753" s="1081"/>
      <c r="K753" s="1081"/>
      <c r="L753" s="1081"/>
      <c r="M753" s="1081"/>
    </row>
    <row r="754" spans="2:13" outlineLevel="1" x14ac:dyDescent="0.15">
      <c r="C754" s="8" t="s">
        <v>1673</v>
      </c>
      <c r="D754" s="26"/>
      <c r="E754" s="26"/>
      <c r="F754" s="26"/>
      <c r="G754" s="1081">
        <f t="shared" ref="G754:M754" ca="1" si="306">G405/G$531</f>
        <v>7.5922383817762386E-5</v>
      </c>
      <c r="H754" s="1081">
        <f t="shared" ca="1" si="306"/>
        <v>7.5922383817762386E-5</v>
      </c>
      <c r="I754" s="1081">
        <f t="shared" ca="1" si="306"/>
        <v>7.5922383817762386E-5</v>
      </c>
      <c r="J754" s="1081">
        <f t="shared" ca="1" si="306"/>
        <v>7.5922383817762386E-5</v>
      </c>
      <c r="K754" s="1081">
        <f t="shared" ca="1" si="306"/>
        <v>7.5922383817762386E-5</v>
      </c>
      <c r="L754" s="1081">
        <f t="shared" ca="1" si="306"/>
        <v>7.5922383817762386E-5</v>
      </c>
      <c r="M754" s="1081">
        <f t="shared" ca="1" si="306"/>
        <v>7.5922383817762386E-5</v>
      </c>
    </row>
    <row r="755" spans="2:13" outlineLevel="1" x14ac:dyDescent="0.15">
      <c r="C755" s="8" t="s">
        <v>1674</v>
      </c>
      <c r="D755" s="26"/>
      <c r="E755" s="26"/>
      <c r="F755" s="26"/>
      <c r="G755" s="1081">
        <f t="shared" ref="G755:M755" ca="1" si="307">G406/G$531</f>
        <v>2.6306886099477887E-4</v>
      </c>
      <c r="H755" s="1081">
        <f t="shared" ca="1" si="307"/>
        <v>2.6306886099477887E-4</v>
      </c>
      <c r="I755" s="1081">
        <f t="shared" ca="1" si="307"/>
        <v>2.6306886099477887E-4</v>
      </c>
      <c r="J755" s="1081">
        <f t="shared" ca="1" si="307"/>
        <v>2.6306886099477887E-4</v>
      </c>
      <c r="K755" s="1081">
        <f t="shared" ca="1" si="307"/>
        <v>2.6306886099477887E-4</v>
      </c>
      <c r="L755" s="1081">
        <f t="shared" ca="1" si="307"/>
        <v>2.6306886099477887E-4</v>
      </c>
      <c r="M755" s="1081">
        <f t="shared" ca="1" si="307"/>
        <v>2.6306886099477887E-4</v>
      </c>
    </row>
    <row r="756" spans="2:13" outlineLevel="1" x14ac:dyDescent="0.15">
      <c r="C756" s="8" t="s">
        <v>1675</v>
      </c>
      <c r="D756" s="26"/>
      <c r="E756" s="26"/>
      <c r="F756" s="26"/>
      <c r="G756" s="1081">
        <f t="shared" ref="G756:M756" ca="1" si="308">G407/G$531</f>
        <v>2.0562512627930353E-5</v>
      </c>
      <c r="H756" s="1081">
        <f t="shared" ca="1" si="308"/>
        <v>2.0562512627930353E-5</v>
      </c>
      <c r="I756" s="1081">
        <f t="shared" ca="1" si="308"/>
        <v>2.0562512627930353E-5</v>
      </c>
      <c r="J756" s="1081">
        <f t="shared" ca="1" si="308"/>
        <v>2.0562512627930353E-5</v>
      </c>
      <c r="K756" s="1081">
        <f t="shared" ca="1" si="308"/>
        <v>2.0562512627930353E-5</v>
      </c>
      <c r="L756" s="1081">
        <f t="shared" ca="1" si="308"/>
        <v>2.0562512627930353E-5</v>
      </c>
      <c r="M756" s="1081">
        <f t="shared" ca="1" si="308"/>
        <v>2.0562512627930353E-5</v>
      </c>
    </row>
    <row r="757" spans="2:13" outlineLevel="1" x14ac:dyDescent="0.15">
      <c r="C757" s="8" t="s">
        <v>1536</v>
      </c>
      <c r="D757" s="26"/>
      <c r="E757" s="26"/>
      <c r="F757" s="26"/>
      <c r="G757" s="1081">
        <f t="shared" ref="G757:M757" ca="1" si="309">G408/G$531</f>
        <v>1.6028177603720826E-5</v>
      </c>
      <c r="H757" s="1081">
        <f t="shared" ca="1" si="309"/>
        <v>1.6028177603720826E-5</v>
      </c>
      <c r="I757" s="1081">
        <f t="shared" ca="1" si="309"/>
        <v>1.6028177603720826E-5</v>
      </c>
      <c r="J757" s="1081">
        <f t="shared" ca="1" si="309"/>
        <v>1.6028177603720826E-5</v>
      </c>
      <c r="K757" s="1081">
        <f t="shared" ca="1" si="309"/>
        <v>1.6028177603720826E-5</v>
      </c>
      <c r="L757" s="1081">
        <f t="shared" ca="1" si="309"/>
        <v>1.6028177603720826E-5</v>
      </c>
      <c r="M757" s="1081">
        <f t="shared" ca="1" si="309"/>
        <v>1.6028177603720826E-5</v>
      </c>
    </row>
    <row r="758" spans="2:13" outlineLevel="1" x14ac:dyDescent="0.15">
      <c r="C758" s="8" t="s">
        <v>1676</v>
      </c>
      <c r="D758" s="26"/>
      <c r="E758" s="26"/>
      <c r="F758" s="26"/>
      <c r="G758" s="1081">
        <f t="shared" ref="G758:M758" ca="1" si="310">G409/G$531</f>
        <v>3.755819350441924E-4</v>
      </c>
      <c r="H758" s="1081">
        <f t="shared" ca="1" si="310"/>
        <v>3.755819350441924E-4</v>
      </c>
      <c r="I758" s="1081">
        <f t="shared" ca="1" si="310"/>
        <v>3.755819350441924E-4</v>
      </c>
      <c r="J758" s="1081">
        <f t="shared" ca="1" si="310"/>
        <v>3.755819350441924E-4</v>
      </c>
      <c r="K758" s="1081">
        <f t="shared" ca="1" si="310"/>
        <v>3.755819350441924E-4</v>
      </c>
      <c r="L758" s="1081">
        <f t="shared" ca="1" si="310"/>
        <v>3.755819350441924E-4</v>
      </c>
      <c r="M758" s="1081">
        <f t="shared" ca="1" si="310"/>
        <v>3.755819350441924E-4</v>
      </c>
    </row>
    <row r="759" spans="2:13" outlineLevel="1" x14ac:dyDescent="0.15">
      <c r="C759" s="8"/>
      <c r="D759" s="26"/>
      <c r="E759" s="26"/>
      <c r="F759" s="26"/>
      <c r="G759" s="1081"/>
      <c r="H759" s="1081"/>
      <c r="I759" s="1081"/>
      <c r="J759" s="1081"/>
      <c r="K759" s="1081"/>
      <c r="L759" s="1081"/>
      <c r="M759" s="1081"/>
    </row>
    <row r="760" spans="2:13" ht="14" outlineLevel="1" x14ac:dyDescent="0.15">
      <c r="B760" s="507" t="s">
        <v>1686</v>
      </c>
      <c r="C760" s="8"/>
      <c r="D760" s="26"/>
      <c r="E760" s="26"/>
      <c r="F760" s="26"/>
      <c r="G760" s="1081"/>
      <c r="H760" s="1081"/>
      <c r="I760" s="1081"/>
      <c r="J760" s="1081"/>
      <c r="K760" s="1081"/>
      <c r="L760" s="1081"/>
      <c r="M760" s="1081"/>
    </row>
    <row r="761" spans="2:13" outlineLevel="1" x14ac:dyDescent="0.15">
      <c r="C761" s="8" t="s">
        <v>1673</v>
      </c>
      <c r="D761" s="26"/>
      <c r="E761" s="26"/>
      <c r="F761" s="26"/>
      <c r="G761" s="1081">
        <f t="shared" ref="G761:M761" ca="1" si="311">G412/G$531</f>
        <v>1.1159972905452061E-2</v>
      </c>
      <c r="H761" s="1081">
        <f t="shared" ca="1" si="311"/>
        <v>1.1159972905452061E-2</v>
      </c>
      <c r="I761" s="1081">
        <f t="shared" ca="1" si="311"/>
        <v>1.1159972905452061E-2</v>
      </c>
      <c r="J761" s="1081">
        <f t="shared" ca="1" si="311"/>
        <v>1.1159972905452061E-2</v>
      </c>
      <c r="K761" s="1081">
        <f t="shared" ca="1" si="311"/>
        <v>1.1159972905452061E-2</v>
      </c>
      <c r="L761" s="1081">
        <f t="shared" ca="1" si="311"/>
        <v>1.1159972905452061E-2</v>
      </c>
      <c r="M761" s="1081">
        <f t="shared" ca="1" si="311"/>
        <v>1.1159972905452061E-2</v>
      </c>
    </row>
    <row r="762" spans="2:13" outlineLevel="1" x14ac:dyDescent="0.15">
      <c r="C762" s="8" t="s">
        <v>1674</v>
      </c>
      <c r="D762" s="26"/>
      <c r="E762" s="26"/>
      <c r="F762" s="26"/>
      <c r="G762" s="1081">
        <f t="shared" ref="G762:M762" ca="1" si="312">G413/G$531</f>
        <v>1.7243541969812173E-2</v>
      </c>
      <c r="H762" s="1081">
        <f t="shared" ca="1" si="312"/>
        <v>1.7243541969812173E-2</v>
      </c>
      <c r="I762" s="1081">
        <f t="shared" ca="1" si="312"/>
        <v>1.7243541969812173E-2</v>
      </c>
      <c r="J762" s="1081">
        <f t="shared" ca="1" si="312"/>
        <v>1.7243541969812173E-2</v>
      </c>
      <c r="K762" s="1081">
        <f t="shared" ca="1" si="312"/>
        <v>1.7243541969812173E-2</v>
      </c>
      <c r="L762" s="1081">
        <f t="shared" ca="1" si="312"/>
        <v>1.7243541969812173E-2</v>
      </c>
      <c r="M762" s="1081">
        <f t="shared" ca="1" si="312"/>
        <v>1.7243541969812173E-2</v>
      </c>
    </row>
    <row r="763" spans="2:13" outlineLevel="1" x14ac:dyDescent="0.15">
      <c r="C763" s="8" t="s">
        <v>1675</v>
      </c>
      <c r="D763" s="26"/>
      <c r="E763" s="26"/>
      <c r="F763" s="26"/>
      <c r="G763" s="1081">
        <f t="shared" ref="G763:M763" ca="1" si="313">G414/G$531</f>
        <v>1.350992246839913E-3</v>
      </c>
      <c r="H763" s="1081">
        <f t="shared" ca="1" si="313"/>
        <v>1.350992246839913E-3</v>
      </c>
      <c r="I763" s="1081">
        <f t="shared" ca="1" si="313"/>
        <v>1.350992246839913E-3</v>
      </c>
      <c r="J763" s="1081">
        <f t="shared" ca="1" si="313"/>
        <v>1.350992246839913E-3</v>
      </c>
      <c r="K763" s="1081">
        <f t="shared" ca="1" si="313"/>
        <v>1.350992246839913E-3</v>
      </c>
      <c r="L763" s="1081">
        <f t="shared" ca="1" si="313"/>
        <v>1.350992246839913E-3</v>
      </c>
      <c r="M763" s="1081">
        <f t="shared" ca="1" si="313"/>
        <v>1.350992246839913E-3</v>
      </c>
    </row>
    <row r="764" spans="2:13" outlineLevel="1" x14ac:dyDescent="0.15">
      <c r="C764" s="8" t="s">
        <v>1536</v>
      </c>
      <c r="D764" s="26"/>
      <c r="E764" s="26"/>
      <c r="F764" s="26"/>
      <c r="G764" s="1081">
        <f t="shared" ref="G764:M764" ca="1" si="314">G415/G$531</f>
        <v>6.4602931767732033E-4</v>
      </c>
      <c r="H764" s="1081">
        <f t="shared" ca="1" si="314"/>
        <v>6.4602931767732033E-4</v>
      </c>
      <c r="I764" s="1081">
        <f t="shared" ca="1" si="314"/>
        <v>6.4602931767732033E-4</v>
      </c>
      <c r="J764" s="1081">
        <f t="shared" ca="1" si="314"/>
        <v>6.4602931767732033E-4</v>
      </c>
      <c r="K764" s="1081">
        <f t="shared" ca="1" si="314"/>
        <v>6.4602931767732033E-4</v>
      </c>
      <c r="L764" s="1081">
        <f t="shared" ca="1" si="314"/>
        <v>6.4602931767732033E-4</v>
      </c>
      <c r="M764" s="1081">
        <f t="shared" ca="1" si="314"/>
        <v>6.4602931767732033E-4</v>
      </c>
    </row>
    <row r="765" spans="2:13" outlineLevel="1" x14ac:dyDescent="0.15">
      <c r="C765" s="8" t="s">
        <v>1676</v>
      </c>
      <c r="D765" s="26"/>
      <c r="E765" s="26"/>
      <c r="F765" s="26"/>
      <c r="G765" s="1081">
        <f t="shared" ref="G765:M765" ca="1" si="315">G416/G$531</f>
        <v>3.040053643978147E-2</v>
      </c>
      <c r="H765" s="1081">
        <f t="shared" ca="1" si="315"/>
        <v>3.040053643978147E-2</v>
      </c>
      <c r="I765" s="1081">
        <f t="shared" ca="1" si="315"/>
        <v>3.040053643978147E-2</v>
      </c>
      <c r="J765" s="1081">
        <f t="shared" ca="1" si="315"/>
        <v>3.040053643978147E-2</v>
      </c>
      <c r="K765" s="1081">
        <f t="shared" ca="1" si="315"/>
        <v>3.040053643978147E-2</v>
      </c>
      <c r="L765" s="1081">
        <f t="shared" ca="1" si="315"/>
        <v>3.040053643978147E-2</v>
      </c>
      <c r="M765" s="1081">
        <f t="shared" ca="1" si="315"/>
        <v>3.040053643978147E-2</v>
      </c>
    </row>
    <row r="766" spans="2:13" outlineLevel="1" x14ac:dyDescent="0.15">
      <c r="C766" s="8"/>
      <c r="D766" s="26"/>
      <c r="E766" s="26"/>
      <c r="F766" s="26"/>
      <c r="G766" s="1081"/>
      <c r="H766" s="1081"/>
      <c r="I766" s="1081"/>
      <c r="J766" s="1081"/>
      <c r="K766" s="1081"/>
      <c r="L766" s="1081"/>
      <c r="M766" s="1081"/>
    </row>
    <row r="767" spans="2:13" ht="16" outlineLevel="1" x14ac:dyDescent="0.2">
      <c r="B767" s="5" t="s">
        <v>1687</v>
      </c>
      <c r="C767" s="8"/>
      <c r="D767" s="26"/>
      <c r="E767" s="26"/>
      <c r="F767" s="26"/>
      <c r="G767" s="1081"/>
      <c r="H767" s="1081"/>
      <c r="I767" s="1081"/>
      <c r="J767" s="1081"/>
      <c r="K767" s="1081"/>
      <c r="L767" s="1081"/>
      <c r="M767" s="1081"/>
    </row>
    <row r="768" spans="2:13" ht="14" outlineLevel="1" x14ac:dyDescent="0.15">
      <c r="B768" s="507" t="s">
        <v>1203</v>
      </c>
      <c r="C768" s="26"/>
      <c r="D768" s="26"/>
      <c r="E768" s="26"/>
      <c r="F768" s="26"/>
      <c r="G768" s="1081"/>
      <c r="H768" s="1081"/>
      <c r="I768" s="1081"/>
      <c r="J768" s="1081"/>
      <c r="K768" s="1081"/>
      <c r="L768" s="1081"/>
      <c r="M768" s="1081"/>
    </row>
    <row r="769" spans="2:13" outlineLevel="1" x14ac:dyDescent="0.15">
      <c r="C769" s="8" t="s">
        <v>1673</v>
      </c>
      <c r="D769" s="26"/>
      <c r="E769" s="26"/>
      <c r="F769" s="26"/>
      <c r="G769" s="1081">
        <f t="shared" ref="G769:M769" ca="1" si="316">G420/G$531</f>
        <v>4.2438405311452029E-3</v>
      </c>
      <c r="H769" s="1081">
        <f t="shared" ca="1" si="316"/>
        <v>4.2438405311452029E-3</v>
      </c>
      <c r="I769" s="1081">
        <f t="shared" ca="1" si="316"/>
        <v>4.2438405311452029E-3</v>
      </c>
      <c r="J769" s="1081">
        <f t="shared" ca="1" si="316"/>
        <v>4.2438405311452029E-3</v>
      </c>
      <c r="K769" s="1081">
        <f t="shared" ca="1" si="316"/>
        <v>4.2438405311452029E-3</v>
      </c>
      <c r="L769" s="1081">
        <f t="shared" ca="1" si="316"/>
        <v>4.2438405311452029E-3</v>
      </c>
      <c r="M769" s="1081">
        <f t="shared" ca="1" si="316"/>
        <v>4.2438405311452029E-3</v>
      </c>
    </row>
    <row r="770" spans="2:13" outlineLevel="1" x14ac:dyDescent="0.15">
      <c r="C770" s="8" t="s">
        <v>1674</v>
      </c>
      <c r="D770" s="26"/>
      <c r="E770" s="26"/>
      <c r="F770" s="26"/>
      <c r="G770" s="1081">
        <f t="shared" ref="G770:M770" ca="1" si="317">G421/G$531</f>
        <v>2.8955064356575928E-2</v>
      </c>
      <c r="H770" s="1081">
        <f t="shared" ca="1" si="317"/>
        <v>2.8955064356575928E-2</v>
      </c>
      <c r="I770" s="1081">
        <f t="shared" ca="1" si="317"/>
        <v>2.8955064356575928E-2</v>
      </c>
      <c r="J770" s="1081">
        <f t="shared" ca="1" si="317"/>
        <v>2.8955064356575928E-2</v>
      </c>
      <c r="K770" s="1081">
        <f t="shared" ca="1" si="317"/>
        <v>2.8955064356575928E-2</v>
      </c>
      <c r="L770" s="1081">
        <f t="shared" ca="1" si="317"/>
        <v>2.8955064356575928E-2</v>
      </c>
      <c r="M770" s="1081">
        <f t="shared" ca="1" si="317"/>
        <v>2.8955064356575928E-2</v>
      </c>
    </row>
    <row r="771" spans="2:13" outlineLevel="1" x14ac:dyDescent="0.15">
      <c r="C771" s="8" t="s">
        <v>1688</v>
      </c>
      <c r="D771" s="26"/>
      <c r="E771" s="26"/>
      <c r="F771" s="26"/>
      <c r="G771" s="1081">
        <f t="shared" ref="G771:M771" ca="1" si="318">G422/G$531</f>
        <v>3.2303922983448435E-3</v>
      </c>
      <c r="H771" s="1081">
        <f t="shared" ca="1" si="318"/>
        <v>3.2303922983448435E-3</v>
      </c>
      <c r="I771" s="1081">
        <f t="shared" ca="1" si="318"/>
        <v>3.2303922983448435E-3</v>
      </c>
      <c r="J771" s="1081">
        <f t="shared" ca="1" si="318"/>
        <v>3.2303922983448435E-3</v>
      </c>
      <c r="K771" s="1081">
        <f t="shared" ca="1" si="318"/>
        <v>3.2303922983448435E-3</v>
      </c>
      <c r="L771" s="1081">
        <f t="shared" ca="1" si="318"/>
        <v>3.2303922983448435E-3</v>
      </c>
      <c r="M771" s="1081">
        <f t="shared" ca="1" si="318"/>
        <v>3.2303922983448435E-3</v>
      </c>
    </row>
    <row r="772" spans="2:13" outlineLevel="1" x14ac:dyDescent="0.15">
      <c r="C772" s="8" t="s">
        <v>1536</v>
      </c>
      <c r="D772" s="26"/>
      <c r="E772" s="26"/>
      <c r="F772" s="26"/>
      <c r="G772" s="1081">
        <f t="shared" ref="G772:M772" ca="1" si="319">G423/G$531</f>
        <v>3.846330374513113E-3</v>
      </c>
      <c r="H772" s="1081">
        <f t="shared" ca="1" si="319"/>
        <v>3.846330374513113E-3</v>
      </c>
      <c r="I772" s="1081">
        <f t="shared" ca="1" si="319"/>
        <v>3.846330374513113E-3</v>
      </c>
      <c r="J772" s="1081">
        <f t="shared" ca="1" si="319"/>
        <v>3.846330374513113E-3</v>
      </c>
      <c r="K772" s="1081">
        <f t="shared" ca="1" si="319"/>
        <v>3.846330374513113E-3</v>
      </c>
      <c r="L772" s="1081">
        <f t="shared" ca="1" si="319"/>
        <v>3.846330374513113E-3</v>
      </c>
      <c r="M772" s="1081">
        <f t="shared" ca="1" si="319"/>
        <v>3.846330374513113E-3</v>
      </c>
    </row>
    <row r="773" spans="2:13" outlineLevel="1" x14ac:dyDescent="0.15">
      <c r="C773" s="8" t="s">
        <v>1676</v>
      </c>
      <c r="D773" s="26"/>
      <c r="E773" s="26"/>
      <c r="F773" s="26"/>
      <c r="G773" s="1081">
        <f t="shared" ref="G773:M773" ca="1" si="320">G424/G$531</f>
        <v>4.0275627560579084E-2</v>
      </c>
      <c r="H773" s="1081">
        <f t="shared" ca="1" si="320"/>
        <v>4.0275627560579084E-2</v>
      </c>
      <c r="I773" s="1081">
        <f t="shared" ca="1" si="320"/>
        <v>4.0275627560579084E-2</v>
      </c>
      <c r="J773" s="1081">
        <f t="shared" ca="1" si="320"/>
        <v>4.0275627560579084E-2</v>
      </c>
      <c r="K773" s="1081">
        <f t="shared" ca="1" si="320"/>
        <v>4.0275627560579084E-2</v>
      </c>
      <c r="L773" s="1081">
        <f t="shared" ca="1" si="320"/>
        <v>4.0275627560579084E-2</v>
      </c>
      <c r="M773" s="1081">
        <f t="shared" ca="1" si="320"/>
        <v>4.0275627560579084E-2</v>
      </c>
    </row>
    <row r="774" spans="2:13" outlineLevel="1" x14ac:dyDescent="0.15">
      <c r="C774" s="8"/>
      <c r="D774" s="26"/>
      <c r="E774" s="26"/>
      <c r="F774" s="26"/>
      <c r="G774" s="1081"/>
      <c r="H774" s="1081"/>
      <c r="I774" s="1081"/>
      <c r="J774" s="1081"/>
      <c r="K774" s="1081"/>
      <c r="L774" s="1081"/>
      <c r="M774" s="1081"/>
    </row>
    <row r="775" spans="2:13" ht="16" outlineLevel="1" x14ac:dyDescent="0.2">
      <c r="B775" s="5" t="s">
        <v>1205</v>
      </c>
      <c r="C775" s="26"/>
      <c r="D775" s="26"/>
      <c r="E775" s="26"/>
      <c r="F775" s="26"/>
      <c r="G775" s="1081"/>
      <c r="H775" s="1081"/>
      <c r="I775" s="1081"/>
      <c r="J775" s="1081"/>
      <c r="K775" s="1081"/>
      <c r="L775" s="1081"/>
      <c r="M775" s="1081"/>
    </row>
    <row r="776" spans="2:13" ht="14" outlineLevel="1" x14ac:dyDescent="0.15">
      <c r="B776" s="507" t="s">
        <v>1206</v>
      </c>
      <c r="C776" s="26"/>
      <c r="D776" s="26"/>
      <c r="E776" s="26"/>
      <c r="F776" s="26"/>
      <c r="G776" s="1081"/>
      <c r="H776" s="1081"/>
      <c r="I776" s="1081"/>
      <c r="J776" s="1081"/>
      <c r="K776" s="1081"/>
      <c r="L776" s="1081"/>
      <c r="M776" s="1081"/>
    </row>
    <row r="777" spans="2:13" outlineLevel="1" x14ac:dyDescent="0.15">
      <c r="C777" s="8" t="s">
        <v>1673</v>
      </c>
      <c r="D777" s="26"/>
      <c r="E777" s="26"/>
      <c r="F777" s="26"/>
      <c r="G777" s="1081">
        <f t="shared" ref="G777:M777" ca="1" si="321">G428/G$531</f>
        <v>1.2906805249019607E-3</v>
      </c>
      <c r="H777" s="1081">
        <f t="shared" ca="1" si="321"/>
        <v>1.2906805249019607E-3</v>
      </c>
      <c r="I777" s="1081">
        <f t="shared" ca="1" si="321"/>
        <v>1.2906805249019607E-3</v>
      </c>
      <c r="J777" s="1081">
        <f t="shared" ca="1" si="321"/>
        <v>1.2906805249019607E-3</v>
      </c>
      <c r="K777" s="1081">
        <f t="shared" ca="1" si="321"/>
        <v>1.2906805249019607E-3</v>
      </c>
      <c r="L777" s="1081">
        <f t="shared" ca="1" si="321"/>
        <v>1.2906805249019607E-3</v>
      </c>
      <c r="M777" s="1081">
        <f t="shared" ca="1" si="321"/>
        <v>1.2906805249019607E-3</v>
      </c>
    </row>
    <row r="778" spans="2:13" outlineLevel="1" x14ac:dyDescent="0.15">
      <c r="C778" s="8" t="s">
        <v>1674</v>
      </c>
      <c r="D778" s="26"/>
      <c r="E778" s="26"/>
      <c r="F778" s="26"/>
      <c r="G778" s="1081">
        <f t="shared" ref="G778:M778" ca="1" si="322">G429/G$531</f>
        <v>3.8466436012111077E-3</v>
      </c>
      <c r="H778" s="1081">
        <f t="shared" ca="1" si="322"/>
        <v>3.8466436012111077E-3</v>
      </c>
      <c r="I778" s="1081">
        <f t="shared" ca="1" si="322"/>
        <v>3.8466436012111077E-3</v>
      </c>
      <c r="J778" s="1081">
        <f t="shared" ca="1" si="322"/>
        <v>3.8466436012111077E-3</v>
      </c>
      <c r="K778" s="1081">
        <f t="shared" ca="1" si="322"/>
        <v>3.8466436012111077E-3</v>
      </c>
      <c r="L778" s="1081">
        <f t="shared" ca="1" si="322"/>
        <v>3.8466436012111077E-3</v>
      </c>
      <c r="M778" s="1081">
        <f t="shared" ca="1" si="322"/>
        <v>3.8466436012111077E-3</v>
      </c>
    </row>
    <row r="779" spans="2:13" outlineLevel="1" x14ac:dyDescent="0.15">
      <c r="C779" s="8" t="s">
        <v>1675</v>
      </c>
      <c r="D779" s="26"/>
      <c r="E779" s="26"/>
      <c r="F779" s="26"/>
      <c r="G779" s="1081">
        <f t="shared" ref="G779:M779" ca="1" si="323">G430/G$531</f>
        <v>7.9482069752000455E-4</v>
      </c>
      <c r="H779" s="1081">
        <f t="shared" ca="1" si="323"/>
        <v>7.9482069752000455E-4</v>
      </c>
      <c r="I779" s="1081">
        <f t="shared" ca="1" si="323"/>
        <v>7.9482069752000455E-4</v>
      </c>
      <c r="J779" s="1081">
        <f t="shared" ca="1" si="323"/>
        <v>7.9482069752000455E-4</v>
      </c>
      <c r="K779" s="1081">
        <f t="shared" ca="1" si="323"/>
        <v>7.9482069752000455E-4</v>
      </c>
      <c r="L779" s="1081">
        <f t="shared" ca="1" si="323"/>
        <v>7.9482069752000455E-4</v>
      </c>
      <c r="M779" s="1081">
        <f t="shared" ca="1" si="323"/>
        <v>7.9482069752000455E-4</v>
      </c>
    </row>
    <row r="780" spans="2:13" outlineLevel="1" x14ac:dyDescent="0.15">
      <c r="C780" s="8" t="s">
        <v>1536</v>
      </c>
      <c r="D780" s="26"/>
      <c r="E780" s="26"/>
      <c r="F780" s="26"/>
      <c r="G780" s="1081">
        <f t="shared" ref="G780:M780" ca="1" si="324">G431/G$531</f>
        <v>1.6597850437984296E-4</v>
      </c>
      <c r="H780" s="1081">
        <f t="shared" ca="1" si="324"/>
        <v>1.6597850437984296E-4</v>
      </c>
      <c r="I780" s="1081">
        <f t="shared" ca="1" si="324"/>
        <v>1.6597850437984296E-4</v>
      </c>
      <c r="J780" s="1081">
        <f t="shared" ca="1" si="324"/>
        <v>1.6597850437984296E-4</v>
      </c>
      <c r="K780" s="1081">
        <f t="shared" ca="1" si="324"/>
        <v>1.6597850437984296E-4</v>
      </c>
      <c r="L780" s="1081">
        <f t="shared" ca="1" si="324"/>
        <v>1.6597850437984296E-4</v>
      </c>
      <c r="M780" s="1081">
        <f t="shared" ca="1" si="324"/>
        <v>1.6597850437984296E-4</v>
      </c>
    </row>
    <row r="781" spans="2:13" ht="16" outlineLevel="1" x14ac:dyDescent="0.2">
      <c r="B781" s="5"/>
      <c r="C781" s="8" t="s">
        <v>1676</v>
      </c>
      <c r="D781" s="26"/>
      <c r="E781" s="26"/>
      <c r="F781" s="26"/>
      <c r="G781" s="1081">
        <f t="shared" ref="G781:M781" ca="1" si="325">G432/G$531</f>
        <v>6.098123328012915E-3</v>
      </c>
      <c r="H781" s="1081">
        <f t="shared" ca="1" si="325"/>
        <v>6.098123328012915E-3</v>
      </c>
      <c r="I781" s="1081">
        <f t="shared" ca="1" si="325"/>
        <v>6.098123328012915E-3</v>
      </c>
      <c r="J781" s="1081">
        <f t="shared" ca="1" si="325"/>
        <v>6.098123328012915E-3</v>
      </c>
      <c r="K781" s="1081">
        <f t="shared" ca="1" si="325"/>
        <v>6.098123328012915E-3</v>
      </c>
      <c r="L781" s="1081">
        <f t="shared" ca="1" si="325"/>
        <v>6.098123328012915E-3</v>
      </c>
      <c r="M781" s="1081">
        <f t="shared" ca="1" si="325"/>
        <v>6.098123328012915E-3</v>
      </c>
    </row>
    <row r="782" spans="2:13" ht="16" outlineLevel="1" x14ac:dyDescent="0.2">
      <c r="B782" s="5"/>
      <c r="C782" s="8"/>
      <c r="D782" s="26"/>
      <c r="E782" s="26"/>
      <c r="F782" s="26"/>
      <c r="G782" s="1081"/>
      <c r="H782" s="1081"/>
      <c r="I782" s="1081"/>
      <c r="J782" s="1081"/>
      <c r="K782" s="1081"/>
      <c r="L782" s="1081"/>
      <c r="M782" s="1081"/>
    </row>
    <row r="783" spans="2:13" ht="16" outlineLevel="1" x14ac:dyDescent="0.2">
      <c r="B783" s="5" t="s">
        <v>1208</v>
      </c>
      <c r="C783" s="26"/>
      <c r="D783" s="26"/>
      <c r="E783" s="26"/>
      <c r="F783" s="26"/>
      <c r="G783" s="1081"/>
      <c r="H783" s="1081"/>
      <c r="I783" s="1081"/>
      <c r="J783" s="1081"/>
      <c r="K783" s="1081"/>
      <c r="L783" s="1081"/>
      <c r="M783" s="1081"/>
    </row>
    <row r="784" spans="2:13" ht="14" outlineLevel="1" x14ac:dyDescent="0.15">
      <c r="B784" s="507" t="s">
        <v>1209</v>
      </c>
      <c r="C784" s="26"/>
      <c r="D784" s="26"/>
      <c r="E784" s="26"/>
      <c r="F784" s="26"/>
      <c r="G784" s="1081"/>
      <c r="H784" s="1081"/>
      <c r="I784" s="1081"/>
      <c r="J784" s="1081"/>
      <c r="K784" s="1081"/>
      <c r="L784" s="1081"/>
      <c r="M784" s="1081"/>
    </row>
    <row r="785" spans="2:13" outlineLevel="1" x14ac:dyDescent="0.15">
      <c r="C785" s="8" t="s">
        <v>1673</v>
      </c>
      <c r="D785" s="26"/>
      <c r="E785" s="26"/>
      <c r="F785" s="26"/>
      <c r="G785" s="1081">
        <f t="shared" ref="G785:M785" ca="1" si="326">G436/G$531</f>
        <v>1.2906805249019607E-3</v>
      </c>
      <c r="H785" s="1081">
        <f t="shared" ca="1" si="326"/>
        <v>1.2906805249019607E-3</v>
      </c>
      <c r="I785" s="1081">
        <f t="shared" ca="1" si="326"/>
        <v>1.2906805249019607E-3</v>
      </c>
      <c r="J785" s="1081">
        <f t="shared" ca="1" si="326"/>
        <v>1.2906805249019607E-3</v>
      </c>
      <c r="K785" s="1081">
        <f t="shared" ca="1" si="326"/>
        <v>1.2906805249019607E-3</v>
      </c>
      <c r="L785" s="1081">
        <f t="shared" ca="1" si="326"/>
        <v>1.2906805249019607E-3</v>
      </c>
      <c r="M785" s="1081">
        <f t="shared" ca="1" si="326"/>
        <v>1.2906805249019607E-3</v>
      </c>
    </row>
    <row r="786" spans="2:13" outlineLevel="1" x14ac:dyDescent="0.15">
      <c r="C786" s="8" t="s">
        <v>1674</v>
      </c>
      <c r="D786" s="26"/>
      <c r="E786" s="26"/>
      <c r="F786" s="26"/>
      <c r="G786" s="1081">
        <f t="shared" ref="G786:M786" ca="1" si="327">G437/G$531</f>
        <v>3.28713180467131E-3</v>
      </c>
      <c r="H786" s="1081">
        <f t="shared" ca="1" si="327"/>
        <v>3.28713180467131E-3</v>
      </c>
      <c r="I786" s="1081">
        <f t="shared" ca="1" si="327"/>
        <v>3.28713180467131E-3</v>
      </c>
      <c r="J786" s="1081">
        <f t="shared" ca="1" si="327"/>
        <v>3.28713180467131E-3</v>
      </c>
      <c r="K786" s="1081">
        <f t="shared" ca="1" si="327"/>
        <v>3.28713180467131E-3</v>
      </c>
      <c r="L786" s="1081">
        <f t="shared" ca="1" si="327"/>
        <v>3.28713180467131E-3</v>
      </c>
      <c r="M786" s="1081">
        <f t="shared" ca="1" si="327"/>
        <v>3.28713180467131E-3</v>
      </c>
    </row>
    <row r="787" spans="2:13" outlineLevel="1" x14ac:dyDescent="0.15">
      <c r="C787" s="8" t="s">
        <v>1675</v>
      </c>
      <c r="D787" s="26"/>
      <c r="E787" s="26"/>
      <c r="F787" s="26"/>
      <c r="G787" s="1081">
        <f t="shared" ref="G787:M787" ca="1" si="328">G438/G$531</f>
        <v>7.9482069752000455E-4</v>
      </c>
      <c r="H787" s="1081">
        <f t="shared" ca="1" si="328"/>
        <v>7.9482069752000455E-4</v>
      </c>
      <c r="I787" s="1081">
        <f t="shared" ca="1" si="328"/>
        <v>7.9482069752000455E-4</v>
      </c>
      <c r="J787" s="1081">
        <f t="shared" ca="1" si="328"/>
        <v>7.9482069752000455E-4</v>
      </c>
      <c r="K787" s="1081">
        <f t="shared" ca="1" si="328"/>
        <v>7.9482069752000455E-4</v>
      </c>
      <c r="L787" s="1081">
        <f t="shared" ca="1" si="328"/>
        <v>7.9482069752000455E-4</v>
      </c>
      <c r="M787" s="1081">
        <f t="shared" ca="1" si="328"/>
        <v>7.9482069752000455E-4</v>
      </c>
    </row>
    <row r="788" spans="2:13" outlineLevel="1" x14ac:dyDescent="0.15">
      <c r="C788" s="8" t="s">
        <v>1536</v>
      </c>
      <c r="D788" s="26"/>
      <c r="E788" s="26"/>
      <c r="F788" s="26"/>
      <c r="G788" s="1081">
        <f t="shared" ref="G788:M788" ca="1" si="329">G439/G$531</f>
        <v>1.4456192316954062E-4</v>
      </c>
      <c r="H788" s="1081">
        <f t="shared" ca="1" si="329"/>
        <v>1.4456192316954062E-4</v>
      </c>
      <c r="I788" s="1081">
        <f t="shared" ca="1" si="329"/>
        <v>1.4456192316954062E-4</v>
      </c>
      <c r="J788" s="1081">
        <f t="shared" ca="1" si="329"/>
        <v>1.4456192316954062E-4</v>
      </c>
      <c r="K788" s="1081">
        <f t="shared" ca="1" si="329"/>
        <v>1.4456192316954062E-4</v>
      </c>
      <c r="L788" s="1081">
        <f t="shared" ca="1" si="329"/>
        <v>1.4456192316954062E-4</v>
      </c>
      <c r="M788" s="1081">
        <f t="shared" ca="1" si="329"/>
        <v>1.4456192316954062E-4</v>
      </c>
    </row>
    <row r="789" spans="2:13" outlineLevel="1" x14ac:dyDescent="0.15">
      <c r="C789" s="8" t="s">
        <v>1676</v>
      </c>
      <c r="D789" s="26"/>
      <c r="E789" s="26"/>
      <c r="F789" s="26"/>
      <c r="G789" s="1081">
        <f t="shared" ref="G789:M789" ca="1" si="330">G440/G$531</f>
        <v>5.5171949502628159E-3</v>
      </c>
      <c r="H789" s="1081">
        <f t="shared" ca="1" si="330"/>
        <v>5.5171949502628159E-3</v>
      </c>
      <c r="I789" s="1081">
        <f t="shared" ca="1" si="330"/>
        <v>5.5171949502628159E-3</v>
      </c>
      <c r="J789" s="1081">
        <f t="shared" ca="1" si="330"/>
        <v>5.5171949502628159E-3</v>
      </c>
      <c r="K789" s="1081">
        <f t="shared" ca="1" si="330"/>
        <v>5.5171949502628159E-3</v>
      </c>
      <c r="L789" s="1081">
        <f t="shared" ca="1" si="330"/>
        <v>5.5171949502628159E-3</v>
      </c>
      <c r="M789" s="1081">
        <f t="shared" ca="1" si="330"/>
        <v>5.5171949502628159E-3</v>
      </c>
    </row>
    <row r="790" spans="2:13" outlineLevel="1" x14ac:dyDescent="0.15">
      <c r="C790" s="8"/>
      <c r="D790" s="26"/>
      <c r="E790" s="26"/>
      <c r="F790" s="26"/>
      <c r="G790" s="1081"/>
      <c r="H790" s="1081"/>
      <c r="I790" s="1081"/>
      <c r="J790" s="1081"/>
      <c r="K790" s="1081"/>
      <c r="L790" s="1081"/>
      <c r="M790" s="1081"/>
    </row>
    <row r="791" spans="2:13" ht="16" outlineLevel="1" x14ac:dyDescent="0.2">
      <c r="B791" s="5" t="s">
        <v>1212</v>
      </c>
      <c r="C791" s="8"/>
      <c r="D791" s="26"/>
      <c r="E791" s="26"/>
      <c r="F791" s="26"/>
      <c r="G791" s="1081"/>
      <c r="H791" s="1081"/>
      <c r="I791" s="1081"/>
      <c r="J791" s="1081"/>
      <c r="K791" s="1081"/>
      <c r="L791" s="1081"/>
      <c r="M791" s="1081"/>
    </row>
    <row r="792" spans="2:13" ht="14" outlineLevel="1" x14ac:dyDescent="0.15">
      <c r="B792" s="507" t="s">
        <v>1213</v>
      </c>
      <c r="C792" s="8"/>
      <c r="D792" s="26"/>
      <c r="E792" s="26"/>
      <c r="F792" s="26"/>
      <c r="G792" s="1081"/>
      <c r="H792" s="1081"/>
      <c r="I792" s="1081"/>
      <c r="J792" s="1081"/>
      <c r="K792" s="1081"/>
      <c r="L792" s="1081"/>
      <c r="M792" s="1081"/>
    </row>
    <row r="793" spans="2:13" outlineLevel="1" x14ac:dyDescent="0.15">
      <c r="C793" s="8" t="s">
        <v>1673</v>
      </c>
      <c r="D793" s="26"/>
      <c r="E793" s="26"/>
      <c r="F793" s="26"/>
      <c r="G793" s="1081">
        <f t="shared" ref="G793:M793" ca="1" si="331">G444/G$531</f>
        <v>9.8699098963115302E-5</v>
      </c>
      <c r="H793" s="1081">
        <f t="shared" ca="1" si="331"/>
        <v>9.8699098963115302E-5</v>
      </c>
      <c r="I793" s="1081">
        <f t="shared" ca="1" si="331"/>
        <v>9.8699098963115302E-5</v>
      </c>
      <c r="J793" s="1081">
        <f t="shared" ca="1" si="331"/>
        <v>9.8699098963115302E-5</v>
      </c>
      <c r="K793" s="1081">
        <f t="shared" ca="1" si="331"/>
        <v>9.8699098963115302E-5</v>
      </c>
      <c r="L793" s="1081">
        <f t="shared" ca="1" si="331"/>
        <v>9.8699098963115302E-5</v>
      </c>
      <c r="M793" s="1081">
        <f t="shared" ca="1" si="331"/>
        <v>9.8699098963115302E-5</v>
      </c>
    </row>
    <row r="794" spans="2:13" outlineLevel="1" x14ac:dyDescent="0.15">
      <c r="C794" s="8" t="s">
        <v>1674</v>
      </c>
      <c r="D794" s="26"/>
      <c r="E794" s="26"/>
      <c r="F794" s="26"/>
      <c r="G794" s="1081">
        <f t="shared" ref="G794:M794" ca="1" si="332">G445/G$531</f>
        <v>6.4617530850405733E-3</v>
      </c>
      <c r="H794" s="1081">
        <f t="shared" ca="1" si="332"/>
        <v>6.4617530850405733E-3</v>
      </c>
      <c r="I794" s="1081">
        <f t="shared" ca="1" si="332"/>
        <v>6.4617530850405733E-3</v>
      </c>
      <c r="J794" s="1081">
        <f t="shared" ca="1" si="332"/>
        <v>6.4617530850405733E-3</v>
      </c>
      <c r="K794" s="1081">
        <f t="shared" ca="1" si="332"/>
        <v>6.4617530850405733E-3</v>
      </c>
      <c r="L794" s="1081">
        <f t="shared" ca="1" si="332"/>
        <v>6.4617530850405733E-3</v>
      </c>
      <c r="M794" s="1081">
        <f t="shared" ca="1" si="332"/>
        <v>6.4617530850405733E-3</v>
      </c>
    </row>
    <row r="795" spans="2:13" outlineLevel="1" x14ac:dyDescent="0.15">
      <c r="C795" s="8" t="s">
        <v>1675</v>
      </c>
      <c r="D795" s="26"/>
      <c r="E795" s="26"/>
      <c r="F795" s="26"/>
      <c r="G795" s="1081">
        <f t="shared" ref="G795:M795" ca="1" si="333">G446/G$531</f>
        <v>2.9437803611861817E-4</v>
      </c>
      <c r="H795" s="1081">
        <f t="shared" ca="1" si="333"/>
        <v>2.9437803611861817E-4</v>
      </c>
      <c r="I795" s="1081">
        <f t="shared" ca="1" si="333"/>
        <v>2.9437803611861817E-4</v>
      </c>
      <c r="J795" s="1081">
        <f t="shared" ca="1" si="333"/>
        <v>2.9437803611861817E-4</v>
      </c>
      <c r="K795" s="1081">
        <f t="shared" ca="1" si="333"/>
        <v>2.9437803611861817E-4</v>
      </c>
      <c r="L795" s="1081">
        <f t="shared" ca="1" si="333"/>
        <v>2.9437803611861817E-4</v>
      </c>
      <c r="M795" s="1081">
        <f t="shared" ca="1" si="333"/>
        <v>2.9437803611861817E-4</v>
      </c>
    </row>
    <row r="796" spans="2:13" outlineLevel="1" x14ac:dyDescent="0.15">
      <c r="C796" s="8" t="s">
        <v>1536</v>
      </c>
      <c r="D796" s="26"/>
      <c r="E796" s="26"/>
      <c r="F796" s="26"/>
      <c r="G796" s="1081">
        <f t="shared" ref="G796:M796" ca="1" si="334">G447/G$531</f>
        <v>4.1226918829846411E-4</v>
      </c>
      <c r="H796" s="1081">
        <f t="shared" ca="1" si="334"/>
        <v>4.1226918829846411E-4</v>
      </c>
      <c r="I796" s="1081">
        <f t="shared" ca="1" si="334"/>
        <v>4.1226918829846411E-4</v>
      </c>
      <c r="J796" s="1081">
        <f t="shared" ca="1" si="334"/>
        <v>4.1226918829846411E-4</v>
      </c>
      <c r="K796" s="1081">
        <f t="shared" ca="1" si="334"/>
        <v>4.1226918829846411E-4</v>
      </c>
      <c r="L796" s="1081">
        <f t="shared" ca="1" si="334"/>
        <v>4.1226918829846411E-4</v>
      </c>
      <c r="M796" s="1081">
        <f t="shared" ca="1" si="334"/>
        <v>4.1226918829846411E-4</v>
      </c>
    </row>
    <row r="797" spans="2:13" outlineLevel="1" x14ac:dyDescent="0.15">
      <c r="C797" s="8" t="s">
        <v>1676</v>
      </c>
      <c r="D797" s="26"/>
      <c r="E797" s="26"/>
      <c r="F797" s="26"/>
      <c r="G797" s="1081">
        <f t="shared" ref="G797:M797" ca="1" si="335">G448/G$531</f>
        <v>7.2670994084207711E-3</v>
      </c>
      <c r="H797" s="1081">
        <f t="shared" ca="1" si="335"/>
        <v>7.2670994084207711E-3</v>
      </c>
      <c r="I797" s="1081">
        <f t="shared" ca="1" si="335"/>
        <v>7.2670994084207711E-3</v>
      </c>
      <c r="J797" s="1081">
        <f t="shared" ca="1" si="335"/>
        <v>7.2670994084207711E-3</v>
      </c>
      <c r="K797" s="1081">
        <f t="shared" ca="1" si="335"/>
        <v>7.2670994084207711E-3</v>
      </c>
      <c r="L797" s="1081">
        <f t="shared" ca="1" si="335"/>
        <v>7.2670994084207711E-3</v>
      </c>
      <c r="M797" s="1081">
        <f t="shared" ca="1" si="335"/>
        <v>7.2670994084207711E-3</v>
      </c>
    </row>
    <row r="798" spans="2:13" outlineLevel="1" x14ac:dyDescent="0.15">
      <c r="C798" s="8"/>
      <c r="D798" s="26"/>
      <c r="E798" s="26"/>
      <c r="F798" s="26"/>
      <c r="G798" s="1081"/>
      <c r="H798" s="1081"/>
      <c r="I798" s="1081"/>
      <c r="J798" s="1081"/>
      <c r="K798" s="1081"/>
      <c r="L798" s="1081"/>
      <c r="M798" s="1081"/>
    </row>
    <row r="799" spans="2:13" ht="16" outlineLevel="1" x14ac:dyDescent="0.2">
      <c r="B799" s="5" t="s">
        <v>1215</v>
      </c>
      <c r="D799" s="26"/>
      <c r="E799" s="26"/>
      <c r="F799" s="26"/>
      <c r="G799" s="1081"/>
      <c r="H799" s="1081"/>
      <c r="I799" s="1081"/>
      <c r="J799" s="1081"/>
      <c r="K799" s="1081"/>
      <c r="L799" s="1081"/>
      <c r="M799" s="1081"/>
    </row>
    <row r="800" spans="2:13" ht="14" outlineLevel="1" x14ac:dyDescent="0.15">
      <c r="B800" s="507" t="s">
        <v>1216</v>
      </c>
      <c r="D800" s="26"/>
      <c r="E800" s="26"/>
      <c r="F800" s="26"/>
      <c r="G800" s="1081"/>
      <c r="H800" s="1081"/>
      <c r="I800" s="1081"/>
      <c r="J800" s="1081"/>
      <c r="K800" s="1081"/>
      <c r="L800" s="1081"/>
      <c r="M800" s="1081"/>
    </row>
    <row r="801" spans="2:13" outlineLevel="1" x14ac:dyDescent="0.15">
      <c r="C801" s="8" t="s">
        <v>1673</v>
      </c>
      <c r="D801" s="26"/>
      <c r="E801" s="26"/>
      <c r="F801" s="26"/>
      <c r="G801" s="1081">
        <f t="shared" ref="G801:M801" ca="1" si="336">G452/G$531</f>
        <v>1.2096862967421727E-4</v>
      </c>
      <c r="H801" s="1081">
        <f t="shared" ca="1" si="336"/>
        <v>1.2096862967421727E-4</v>
      </c>
      <c r="I801" s="1081">
        <f t="shared" ca="1" si="336"/>
        <v>1.2096862967421727E-4</v>
      </c>
      <c r="J801" s="1081">
        <f t="shared" ca="1" si="336"/>
        <v>1.2096862967421727E-4</v>
      </c>
      <c r="K801" s="1081">
        <f t="shared" ca="1" si="336"/>
        <v>1.2096862967421727E-4</v>
      </c>
      <c r="L801" s="1081">
        <f t="shared" ca="1" si="336"/>
        <v>1.2096862967421727E-4</v>
      </c>
      <c r="M801" s="1081">
        <f t="shared" ca="1" si="336"/>
        <v>1.2096862967421727E-4</v>
      </c>
    </row>
    <row r="802" spans="2:13" outlineLevel="1" x14ac:dyDescent="0.15">
      <c r="C802" s="8" t="s">
        <v>1674</v>
      </c>
      <c r="D802" s="26"/>
      <c r="E802" s="26"/>
      <c r="F802" s="26"/>
      <c r="G802" s="1081">
        <f t="shared" ref="G802:M802" ca="1" si="337">G453/G$531</f>
        <v>1.1167493577102117E-3</v>
      </c>
      <c r="H802" s="1081">
        <f t="shared" ca="1" si="337"/>
        <v>1.1167493577102117E-3</v>
      </c>
      <c r="I802" s="1081">
        <f t="shared" ca="1" si="337"/>
        <v>1.1167493577102117E-3</v>
      </c>
      <c r="J802" s="1081">
        <f t="shared" ca="1" si="337"/>
        <v>1.1167493577102117E-3</v>
      </c>
      <c r="K802" s="1081">
        <f t="shared" ca="1" si="337"/>
        <v>1.1167493577102117E-3</v>
      </c>
      <c r="L802" s="1081">
        <f t="shared" ca="1" si="337"/>
        <v>1.1167493577102117E-3</v>
      </c>
      <c r="M802" s="1081">
        <f t="shared" ca="1" si="337"/>
        <v>1.1167493577102117E-3</v>
      </c>
    </row>
    <row r="803" spans="2:13" outlineLevel="1" x14ac:dyDescent="0.15">
      <c r="C803" s="8" t="s">
        <v>1675</v>
      </c>
      <c r="D803" s="26"/>
      <c r="E803" s="26"/>
      <c r="F803" s="26"/>
      <c r="G803" s="1081">
        <f t="shared" ref="G803:M803" ca="1" si="338">G454/G$531</f>
        <v>3.1578046752591458E-5</v>
      </c>
      <c r="H803" s="1081">
        <f t="shared" ca="1" si="338"/>
        <v>3.1578046752591458E-5</v>
      </c>
      <c r="I803" s="1081">
        <f t="shared" ca="1" si="338"/>
        <v>3.1578046752591458E-5</v>
      </c>
      <c r="J803" s="1081">
        <f t="shared" ca="1" si="338"/>
        <v>3.1578046752591458E-5</v>
      </c>
      <c r="K803" s="1081">
        <f t="shared" ca="1" si="338"/>
        <v>3.1578046752591458E-5</v>
      </c>
      <c r="L803" s="1081">
        <f t="shared" ca="1" si="338"/>
        <v>3.1578046752591458E-5</v>
      </c>
      <c r="M803" s="1081">
        <f t="shared" ca="1" si="338"/>
        <v>3.1578046752591458E-5</v>
      </c>
    </row>
    <row r="804" spans="2:13" outlineLevel="1" x14ac:dyDescent="0.15">
      <c r="C804" s="8" t="s">
        <v>1536</v>
      </c>
      <c r="D804" s="26"/>
      <c r="E804" s="26"/>
      <c r="F804" s="26"/>
      <c r="G804" s="1081">
        <f t="shared" ref="G804:M804" ca="1" si="339">G455/G$531</f>
        <v>4.8747801016203202E-5</v>
      </c>
      <c r="H804" s="1081">
        <f t="shared" ca="1" si="339"/>
        <v>4.8747801016203202E-5</v>
      </c>
      <c r="I804" s="1081">
        <f t="shared" ca="1" si="339"/>
        <v>4.8747801016203202E-5</v>
      </c>
      <c r="J804" s="1081">
        <f t="shared" ca="1" si="339"/>
        <v>4.8747801016203202E-5</v>
      </c>
      <c r="K804" s="1081">
        <f t="shared" ca="1" si="339"/>
        <v>4.8747801016203202E-5</v>
      </c>
      <c r="L804" s="1081">
        <f t="shared" ca="1" si="339"/>
        <v>4.8747801016203202E-5</v>
      </c>
      <c r="M804" s="1081">
        <f t="shared" ca="1" si="339"/>
        <v>4.8747801016203202E-5</v>
      </c>
    </row>
    <row r="805" spans="2:13" outlineLevel="1" x14ac:dyDescent="0.15">
      <c r="C805" s="8" t="s">
        <v>1676</v>
      </c>
      <c r="D805" s="26"/>
      <c r="E805" s="26"/>
      <c r="F805" s="26"/>
      <c r="G805" s="1081">
        <f t="shared" ref="G805:M805" ca="1" si="340">G456/G$531</f>
        <v>1.3180438351532236E-3</v>
      </c>
      <c r="H805" s="1081">
        <f t="shared" ca="1" si="340"/>
        <v>1.3180438351532236E-3</v>
      </c>
      <c r="I805" s="1081">
        <f t="shared" ca="1" si="340"/>
        <v>1.3180438351532236E-3</v>
      </c>
      <c r="J805" s="1081">
        <f t="shared" ca="1" si="340"/>
        <v>1.3180438351532236E-3</v>
      </c>
      <c r="K805" s="1081">
        <f t="shared" ca="1" si="340"/>
        <v>1.3180438351532236E-3</v>
      </c>
      <c r="L805" s="1081">
        <f t="shared" ca="1" si="340"/>
        <v>1.3180438351532236E-3</v>
      </c>
      <c r="M805" s="1081">
        <f t="shared" ca="1" si="340"/>
        <v>1.3180438351532236E-3</v>
      </c>
    </row>
    <row r="806" spans="2:13" outlineLevel="1" x14ac:dyDescent="0.15">
      <c r="C806" s="8"/>
      <c r="D806" s="26"/>
      <c r="E806" s="26"/>
      <c r="F806" s="26"/>
      <c r="G806" s="1081"/>
      <c r="H806" s="1081"/>
      <c r="I806" s="1081"/>
      <c r="J806" s="1081"/>
      <c r="K806" s="1081"/>
      <c r="L806" s="1081"/>
      <c r="M806" s="1081"/>
    </row>
    <row r="807" spans="2:13" ht="14" outlineLevel="1" x14ac:dyDescent="0.15">
      <c r="B807" s="507" t="s">
        <v>1218</v>
      </c>
      <c r="C807" s="8"/>
      <c r="D807" s="26"/>
      <c r="E807" s="26"/>
      <c r="F807" s="26"/>
      <c r="G807" s="1081"/>
      <c r="H807" s="1081"/>
      <c r="I807" s="1081"/>
      <c r="J807" s="1081"/>
      <c r="K807" s="1081"/>
      <c r="L807" s="1081"/>
      <c r="M807" s="1081"/>
    </row>
    <row r="808" spans="2:13" outlineLevel="1" x14ac:dyDescent="0.15">
      <c r="C808" s="8" t="s">
        <v>1673</v>
      </c>
      <c r="D808" s="26"/>
      <c r="E808" s="26"/>
      <c r="F808" s="26"/>
      <c r="G808" s="1081">
        <f t="shared" ref="G808:M808" ca="1" si="341">G459/G$531</f>
        <v>2.8805153031554522E-4</v>
      </c>
      <c r="H808" s="1081">
        <f t="shared" ca="1" si="341"/>
        <v>2.8805153031554522E-4</v>
      </c>
      <c r="I808" s="1081">
        <f t="shared" ca="1" si="341"/>
        <v>2.8805153031554522E-4</v>
      </c>
      <c r="J808" s="1081">
        <f t="shared" ca="1" si="341"/>
        <v>2.8805153031554522E-4</v>
      </c>
      <c r="K808" s="1081">
        <f t="shared" ca="1" si="341"/>
        <v>2.8805153031554522E-4</v>
      </c>
      <c r="L808" s="1081">
        <f t="shared" ca="1" si="341"/>
        <v>2.8805153031554522E-4</v>
      </c>
      <c r="M808" s="1081">
        <f t="shared" ca="1" si="341"/>
        <v>2.8805153031554522E-4</v>
      </c>
    </row>
    <row r="809" spans="2:13" outlineLevel="1" x14ac:dyDescent="0.15">
      <c r="C809" s="8" t="s">
        <v>1674</v>
      </c>
      <c r="D809" s="26"/>
      <c r="E809" s="26"/>
      <c r="F809" s="26"/>
      <c r="G809" s="1081">
        <f t="shared" ref="G809:M809" ca="1" si="342">G460/G$531</f>
        <v>2.9986436137905244E-4</v>
      </c>
      <c r="H809" s="1081">
        <f t="shared" ca="1" si="342"/>
        <v>2.9986436137905244E-4</v>
      </c>
      <c r="I809" s="1081">
        <f t="shared" ca="1" si="342"/>
        <v>2.9986436137905244E-4</v>
      </c>
      <c r="J809" s="1081">
        <f t="shared" ca="1" si="342"/>
        <v>2.9986436137905244E-4</v>
      </c>
      <c r="K809" s="1081">
        <f t="shared" ca="1" si="342"/>
        <v>2.9986436137905244E-4</v>
      </c>
      <c r="L809" s="1081">
        <f t="shared" ca="1" si="342"/>
        <v>2.9986436137905244E-4</v>
      </c>
      <c r="M809" s="1081">
        <f t="shared" ca="1" si="342"/>
        <v>2.9986436137905244E-4</v>
      </c>
    </row>
    <row r="810" spans="2:13" outlineLevel="1" x14ac:dyDescent="0.15">
      <c r="C810" s="8" t="s">
        <v>1675</v>
      </c>
      <c r="D810" s="26"/>
      <c r="E810" s="26"/>
      <c r="F810" s="26"/>
      <c r="G810" s="1081">
        <f t="shared" ref="G810:M810" ca="1" si="343">G461/G$531</f>
        <v>9.6937559531671752E-5</v>
      </c>
      <c r="H810" s="1081">
        <f t="shared" ca="1" si="343"/>
        <v>9.6937559531671752E-5</v>
      </c>
      <c r="I810" s="1081">
        <f t="shared" ca="1" si="343"/>
        <v>9.6937559531671752E-5</v>
      </c>
      <c r="J810" s="1081">
        <f t="shared" ca="1" si="343"/>
        <v>9.6937559531671752E-5</v>
      </c>
      <c r="K810" s="1081">
        <f t="shared" ca="1" si="343"/>
        <v>9.6937559531671752E-5</v>
      </c>
      <c r="L810" s="1081">
        <f t="shared" ca="1" si="343"/>
        <v>9.6937559531671752E-5</v>
      </c>
      <c r="M810" s="1081">
        <f t="shared" ca="1" si="343"/>
        <v>9.6937559531671752E-5</v>
      </c>
    </row>
    <row r="811" spans="2:13" outlineLevel="1" x14ac:dyDescent="0.15">
      <c r="C811" s="8" t="s">
        <v>1536</v>
      </c>
      <c r="D811" s="26"/>
      <c r="E811" s="26"/>
      <c r="F811" s="26"/>
      <c r="G811" s="1081">
        <f t="shared" ref="G811:M811" ca="1" si="344">G462/G$531</f>
        <v>1.8163226768527795E-4</v>
      </c>
      <c r="H811" s="1081">
        <f t="shared" ca="1" si="344"/>
        <v>1.8163226768527795E-4</v>
      </c>
      <c r="I811" s="1081">
        <f t="shared" ca="1" si="344"/>
        <v>1.8163226768527795E-4</v>
      </c>
      <c r="J811" s="1081">
        <f t="shared" ca="1" si="344"/>
        <v>1.8163226768527795E-4</v>
      </c>
      <c r="K811" s="1081">
        <f t="shared" ca="1" si="344"/>
        <v>1.8163226768527795E-4</v>
      </c>
      <c r="L811" s="1081">
        <f t="shared" ca="1" si="344"/>
        <v>1.8163226768527795E-4</v>
      </c>
      <c r="M811" s="1081">
        <f t="shared" ca="1" si="344"/>
        <v>1.8163226768527795E-4</v>
      </c>
    </row>
    <row r="812" spans="2:13" outlineLevel="1" x14ac:dyDescent="0.15">
      <c r="C812" s="8" t="s">
        <v>1676</v>
      </c>
      <c r="D812" s="26"/>
      <c r="E812" s="26"/>
      <c r="F812" s="26"/>
      <c r="G812" s="1081">
        <f t="shared" ref="G812:M812" ca="1" si="345">G463/G$531</f>
        <v>8.6648571891154744E-4</v>
      </c>
      <c r="H812" s="1081">
        <f t="shared" ca="1" si="345"/>
        <v>8.6648571891154744E-4</v>
      </c>
      <c r="I812" s="1081">
        <f t="shared" ca="1" si="345"/>
        <v>8.6648571891154744E-4</v>
      </c>
      <c r="J812" s="1081">
        <f t="shared" ca="1" si="345"/>
        <v>8.6648571891154744E-4</v>
      </c>
      <c r="K812" s="1081">
        <f t="shared" ca="1" si="345"/>
        <v>8.6648571891154744E-4</v>
      </c>
      <c r="L812" s="1081">
        <f t="shared" ca="1" si="345"/>
        <v>8.6648571891154744E-4</v>
      </c>
      <c r="M812" s="1081">
        <f t="shared" ca="1" si="345"/>
        <v>8.6648571891154744E-4</v>
      </c>
    </row>
    <row r="813" spans="2:13" outlineLevel="1" x14ac:dyDescent="0.15">
      <c r="C813" s="8"/>
      <c r="D813" s="26"/>
      <c r="E813" s="26"/>
      <c r="F813" s="26"/>
      <c r="G813" s="1081"/>
      <c r="H813" s="1081"/>
      <c r="I813" s="1081"/>
      <c r="J813" s="1081"/>
      <c r="K813" s="1081"/>
      <c r="L813" s="1081"/>
      <c r="M813" s="1081"/>
    </row>
    <row r="814" spans="2:13" ht="14" outlineLevel="1" x14ac:dyDescent="0.15">
      <c r="B814" s="507" t="s">
        <v>1219</v>
      </c>
      <c r="C814" s="8"/>
      <c r="D814" s="26"/>
      <c r="E814" s="26"/>
      <c r="F814" s="26"/>
      <c r="G814" s="1081"/>
      <c r="H814" s="1081"/>
      <c r="I814" s="1081"/>
      <c r="J814" s="1081"/>
      <c r="K814" s="1081"/>
      <c r="L814" s="1081"/>
      <c r="M814" s="1081"/>
    </row>
    <row r="815" spans="2:13" outlineLevel="1" x14ac:dyDescent="0.15">
      <c r="C815" s="8" t="s">
        <v>1673</v>
      </c>
      <c r="D815" s="26"/>
      <c r="E815" s="26"/>
      <c r="F815" s="26"/>
      <c r="G815" s="1081">
        <f t="shared" ref="G815:M815" ca="1" si="346">G466/G$531</f>
        <v>3.6442744232534883E-4</v>
      </c>
      <c r="H815" s="1081">
        <f t="shared" ca="1" si="346"/>
        <v>3.6442744232534883E-4</v>
      </c>
      <c r="I815" s="1081">
        <f t="shared" ca="1" si="346"/>
        <v>3.6442744232534883E-4</v>
      </c>
      <c r="J815" s="1081">
        <f t="shared" ca="1" si="346"/>
        <v>3.6442744232534883E-4</v>
      </c>
      <c r="K815" s="1081">
        <f t="shared" ca="1" si="346"/>
        <v>3.6442744232534883E-4</v>
      </c>
      <c r="L815" s="1081">
        <f t="shared" ca="1" si="346"/>
        <v>3.6442744232534883E-4</v>
      </c>
      <c r="M815" s="1081">
        <f t="shared" ca="1" si="346"/>
        <v>3.6442744232534883E-4</v>
      </c>
    </row>
    <row r="816" spans="2:13" outlineLevel="1" x14ac:dyDescent="0.15">
      <c r="C816" s="8" t="s">
        <v>1674</v>
      </c>
      <c r="D816" s="26"/>
      <c r="E816" s="26"/>
      <c r="F816" s="26"/>
      <c r="G816" s="1081">
        <f t="shared" ref="G816:M816" ca="1" si="347">G467/G$531</f>
        <v>5.1694024680324583E-4</v>
      </c>
      <c r="H816" s="1081">
        <f t="shared" ca="1" si="347"/>
        <v>5.1694024680324583E-4</v>
      </c>
      <c r="I816" s="1081">
        <f t="shared" ca="1" si="347"/>
        <v>5.1694024680324583E-4</v>
      </c>
      <c r="J816" s="1081">
        <f t="shared" ca="1" si="347"/>
        <v>5.1694024680324583E-4</v>
      </c>
      <c r="K816" s="1081">
        <f t="shared" ca="1" si="347"/>
        <v>5.1694024680324583E-4</v>
      </c>
      <c r="L816" s="1081">
        <f t="shared" ca="1" si="347"/>
        <v>5.1694024680324583E-4</v>
      </c>
      <c r="M816" s="1081">
        <f t="shared" ca="1" si="347"/>
        <v>5.1694024680324583E-4</v>
      </c>
    </row>
    <row r="817" spans="2:13" outlineLevel="1" x14ac:dyDescent="0.15">
      <c r="C817" s="8" t="s">
        <v>1675</v>
      </c>
      <c r="D817" s="26"/>
      <c r="E817" s="26"/>
      <c r="F817" s="26"/>
      <c r="G817" s="1081">
        <f t="shared" ref="G817:M817" ca="1" si="348">G468/G$531</f>
        <v>3.8269144695420368E-5</v>
      </c>
      <c r="H817" s="1081">
        <f t="shared" ca="1" si="348"/>
        <v>3.8269144695420368E-5</v>
      </c>
      <c r="I817" s="1081">
        <f t="shared" ca="1" si="348"/>
        <v>3.8269144695420368E-5</v>
      </c>
      <c r="J817" s="1081">
        <f t="shared" ca="1" si="348"/>
        <v>3.8269144695420368E-5</v>
      </c>
      <c r="K817" s="1081">
        <f t="shared" ca="1" si="348"/>
        <v>3.8269144695420368E-5</v>
      </c>
      <c r="L817" s="1081">
        <f t="shared" ca="1" si="348"/>
        <v>3.8269144695420368E-5</v>
      </c>
      <c r="M817" s="1081">
        <f t="shared" ca="1" si="348"/>
        <v>3.8269144695420368E-5</v>
      </c>
    </row>
    <row r="818" spans="2:13" outlineLevel="1" x14ac:dyDescent="0.15">
      <c r="C818" s="8" t="s">
        <v>1536</v>
      </c>
      <c r="D818" s="26"/>
      <c r="E818" s="26"/>
      <c r="F818" s="26"/>
      <c r="G818" s="1081">
        <f t="shared" ref="G818:M818" ca="1" si="349">G469/G$531</f>
        <v>1.0708290605154909E-6</v>
      </c>
      <c r="H818" s="1081">
        <f t="shared" ca="1" si="349"/>
        <v>1.0708290605154909E-6</v>
      </c>
      <c r="I818" s="1081">
        <f t="shared" ca="1" si="349"/>
        <v>1.0708290605154909E-6</v>
      </c>
      <c r="J818" s="1081">
        <f t="shared" ca="1" si="349"/>
        <v>1.0708290605154909E-6</v>
      </c>
      <c r="K818" s="1081">
        <f t="shared" ca="1" si="349"/>
        <v>1.0708290605154909E-6</v>
      </c>
      <c r="L818" s="1081">
        <f t="shared" ca="1" si="349"/>
        <v>1.0708290605154909E-6</v>
      </c>
      <c r="M818" s="1081">
        <f t="shared" ca="1" si="349"/>
        <v>1.0708290605154909E-6</v>
      </c>
    </row>
    <row r="819" spans="2:13" outlineLevel="1" x14ac:dyDescent="0.15">
      <c r="C819" s="8" t="s">
        <v>1676</v>
      </c>
      <c r="D819" s="26"/>
      <c r="E819" s="26"/>
      <c r="F819" s="26"/>
      <c r="G819" s="1081">
        <f t="shared" ref="G819:M819" ca="1" si="350">G470/G$531</f>
        <v>9.2070766288453035E-4</v>
      </c>
      <c r="H819" s="1081">
        <f t="shared" ca="1" si="350"/>
        <v>9.2070766288453035E-4</v>
      </c>
      <c r="I819" s="1081">
        <f t="shared" ca="1" si="350"/>
        <v>9.2070766288453035E-4</v>
      </c>
      <c r="J819" s="1081">
        <f t="shared" ca="1" si="350"/>
        <v>9.2070766288453035E-4</v>
      </c>
      <c r="K819" s="1081">
        <f t="shared" ca="1" si="350"/>
        <v>9.2070766288453035E-4</v>
      </c>
      <c r="L819" s="1081">
        <f t="shared" ca="1" si="350"/>
        <v>9.2070766288453035E-4</v>
      </c>
      <c r="M819" s="1081">
        <f t="shared" ca="1" si="350"/>
        <v>9.2070766288453035E-4</v>
      </c>
    </row>
    <row r="820" spans="2:13" outlineLevel="1" x14ac:dyDescent="0.15">
      <c r="C820" s="8"/>
      <c r="D820" s="26"/>
      <c r="E820" s="26"/>
      <c r="F820" s="26"/>
      <c r="G820" s="1081"/>
      <c r="H820" s="1081"/>
      <c r="I820" s="1081"/>
      <c r="J820" s="1081"/>
      <c r="K820" s="1081"/>
      <c r="L820" s="1081"/>
      <c r="M820" s="1081"/>
    </row>
    <row r="821" spans="2:13" ht="14" outlineLevel="1" x14ac:dyDescent="0.15">
      <c r="B821" s="507" t="s">
        <v>1220</v>
      </c>
      <c r="C821" s="8"/>
      <c r="D821" s="26"/>
      <c r="E821" s="26"/>
      <c r="F821" s="26"/>
      <c r="G821" s="1081"/>
      <c r="H821" s="1081"/>
      <c r="I821" s="1081"/>
      <c r="J821" s="1081"/>
      <c r="K821" s="1081"/>
      <c r="L821" s="1081"/>
      <c r="M821" s="1081"/>
    </row>
    <row r="822" spans="2:13" outlineLevel="1" x14ac:dyDescent="0.15">
      <c r="C822" s="225" t="s">
        <v>1221</v>
      </c>
      <c r="D822" s="26"/>
      <c r="E822" s="26"/>
      <c r="F822" s="26"/>
      <c r="G822" s="1081"/>
      <c r="H822" s="1081"/>
      <c r="I822" s="1081"/>
      <c r="J822" s="1081"/>
      <c r="K822" s="1081"/>
      <c r="L822" s="1081"/>
      <c r="M822" s="1081"/>
    </row>
    <row r="823" spans="2:13" outlineLevel="1" x14ac:dyDescent="0.15">
      <c r="C823" s="8" t="s">
        <v>1673</v>
      </c>
      <c r="D823" s="26"/>
      <c r="E823" s="26"/>
      <c r="F823" s="26"/>
      <c r="G823" s="1081">
        <f t="shared" ref="G823:M823" ca="1" si="351">G474/G$531</f>
        <v>0</v>
      </c>
      <c r="H823" s="1081">
        <f t="shared" ca="1" si="351"/>
        <v>0</v>
      </c>
      <c r="I823" s="1081">
        <f t="shared" ca="1" si="351"/>
        <v>0</v>
      </c>
      <c r="J823" s="1081">
        <f t="shared" ca="1" si="351"/>
        <v>0</v>
      </c>
      <c r="K823" s="1081">
        <f t="shared" ca="1" si="351"/>
        <v>0</v>
      </c>
      <c r="L823" s="1081">
        <f t="shared" ca="1" si="351"/>
        <v>0</v>
      </c>
      <c r="M823" s="1081">
        <f t="shared" ca="1" si="351"/>
        <v>0</v>
      </c>
    </row>
    <row r="824" spans="2:13" outlineLevel="1" x14ac:dyDescent="0.15">
      <c r="C824" s="8" t="s">
        <v>1674</v>
      </c>
      <c r="D824" s="26"/>
      <c r="E824" s="26"/>
      <c r="F824" s="26"/>
      <c r="G824" s="1081">
        <f t="shared" ref="G824:M824" ca="1" si="352">G475/G$531</f>
        <v>1.6606070927618163E-2</v>
      </c>
      <c r="H824" s="1081">
        <f t="shared" ca="1" si="352"/>
        <v>1.6606070927618163E-2</v>
      </c>
      <c r="I824" s="1081">
        <f t="shared" ca="1" si="352"/>
        <v>1.6606070927618163E-2</v>
      </c>
      <c r="J824" s="1081">
        <f t="shared" ca="1" si="352"/>
        <v>1.6606070927618163E-2</v>
      </c>
      <c r="K824" s="1081">
        <f t="shared" ca="1" si="352"/>
        <v>1.6606070927618163E-2</v>
      </c>
      <c r="L824" s="1081">
        <f t="shared" ca="1" si="352"/>
        <v>1.6606070927618163E-2</v>
      </c>
      <c r="M824" s="1081">
        <f t="shared" ca="1" si="352"/>
        <v>1.6606070927618163E-2</v>
      </c>
    </row>
    <row r="825" spans="2:13" x14ac:dyDescent="0.15">
      <c r="C825" s="8" t="s">
        <v>1675</v>
      </c>
      <c r="G825" s="1081">
        <f t="shared" ref="G825:M825" ca="1" si="353">G476/G$531</f>
        <v>0</v>
      </c>
      <c r="H825" s="1081">
        <f t="shared" ca="1" si="353"/>
        <v>0</v>
      </c>
      <c r="I825" s="1081">
        <f t="shared" ca="1" si="353"/>
        <v>0</v>
      </c>
      <c r="J825" s="1081">
        <f t="shared" ca="1" si="353"/>
        <v>0</v>
      </c>
      <c r="K825" s="1081">
        <f t="shared" ca="1" si="353"/>
        <v>0</v>
      </c>
      <c r="L825" s="1081">
        <f t="shared" ca="1" si="353"/>
        <v>0</v>
      </c>
      <c r="M825" s="1081">
        <f t="shared" ca="1" si="353"/>
        <v>0</v>
      </c>
    </row>
    <row r="826" spans="2:13" ht="14" x14ac:dyDescent="0.15">
      <c r="B826" s="507"/>
      <c r="C826" s="8" t="s">
        <v>1536</v>
      </c>
      <c r="G826" s="1081">
        <f t="shared" ref="G826:M826" ca="1" si="354">G477/G$531</f>
        <v>1.5057705769983417E-3</v>
      </c>
      <c r="H826" s="1081">
        <f t="shared" ca="1" si="354"/>
        <v>1.5057705769983417E-3</v>
      </c>
      <c r="I826" s="1081">
        <f t="shared" ca="1" si="354"/>
        <v>1.5057705769983417E-3</v>
      </c>
      <c r="J826" s="1081">
        <f t="shared" ca="1" si="354"/>
        <v>1.5057705769983417E-3</v>
      </c>
      <c r="K826" s="1081">
        <f t="shared" ca="1" si="354"/>
        <v>1.5057705769983417E-3</v>
      </c>
      <c r="L826" s="1081">
        <f t="shared" ca="1" si="354"/>
        <v>1.5057705769983417E-3</v>
      </c>
      <c r="M826" s="1081">
        <f t="shared" ca="1" si="354"/>
        <v>1.5057705769983417E-3</v>
      </c>
    </row>
    <row r="827" spans="2:13" ht="14" x14ac:dyDescent="0.15">
      <c r="B827" s="507"/>
      <c r="C827" s="8" t="s">
        <v>1676</v>
      </c>
      <c r="G827" s="1081">
        <f t="shared" ref="G827:M827" ca="1" si="355">G478/G$531</f>
        <v>1.8111841504616505E-2</v>
      </c>
      <c r="H827" s="1081">
        <f t="shared" ca="1" si="355"/>
        <v>1.8111841504616505E-2</v>
      </c>
      <c r="I827" s="1081">
        <f t="shared" ca="1" si="355"/>
        <v>1.8111841504616505E-2</v>
      </c>
      <c r="J827" s="1081">
        <f t="shared" ca="1" si="355"/>
        <v>1.8111841504616505E-2</v>
      </c>
      <c r="K827" s="1081">
        <f t="shared" ca="1" si="355"/>
        <v>1.8111841504616505E-2</v>
      </c>
      <c r="L827" s="1081">
        <f t="shared" ca="1" si="355"/>
        <v>1.8111841504616505E-2</v>
      </c>
      <c r="M827" s="1081">
        <f t="shared" ca="1" si="355"/>
        <v>1.8111841504616505E-2</v>
      </c>
    </row>
    <row r="828" spans="2:13" ht="14" x14ac:dyDescent="0.15">
      <c r="B828" s="507"/>
      <c r="C828" s="8"/>
      <c r="G828" s="1081"/>
      <c r="H828" s="1081"/>
      <c r="I828" s="1081"/>
      <c r="J828" s="1081"/>
      <c r="K828" s="1081"/>
      <c r="L828" s="1081"/>
      <c r="M828" s="1081"/>
    </row>
    <row r="829" spans="2:13" ht="14" x14ac:dyDescent="0.15">
      <c r="B829" s="507"/>
      <c r="C829" s="225" t="s">
        <v>1223</v>
      </c>
      <c r="G829" s="1081"/>
      <c r="H829" s="1081"/>
      <c r="I829" s="1081"/>
      <c r="J829" s="1081"/>
      <c r="K829" s="1081"/>
      <c r="L829" s="1081"/>
      <c r="M829" s="1081"/>
    </row>
    <row r="830" spans="2:13" ht="14" x14ac:dyDescent="0.15">
      <c r="B830" s="507"/>
      <c r="C830" s="8" t="s">
        <v>1673</v>
      </c>
      <c r="G830" s="1081">
        <f t="shared" ref="G830:M830" ca="1" si="356">G481/G$531</f>
        <v>0</v>
      </c>
      <c r="H830" s="1081">
        <f t="shared" ca="1" si="356"/>
        <v>0</v>
      </c>
      <c r="I830" s="1081">
        <f t="shared" ca="1" si="356"/>
        <v>0</v>
      </c>
      <c r="J830" s="1081">
        <f t="shared" ca="1" si="356"/>
        <v>0</v>
      </c>
      <c r="K830" s="1081">
        <f t="shared" ca="1" si="356"/>
        <v>0</v>
      </c>
      <c r="L830" s="1081">
        <f t="shared" ca="1" si="356"/>
        <v>0</v>
      </c>
      <c r="M830" s="1081">
        <f t="shared" ca="1" si="356"/>
        <v>0</v>
      </c>
    </row>
    <row r="831" spans="2:13" ht="14" x14ac:dyDescent="0.15">
      <c r="B831" s="507"/>
      <c r="C831" s="8" t="s">
        <v>1674</v>
      </c>
      <c r="G831" s="1081">
        <f t="shared" ref="G831:M831" ca="1" si="357">G482/G$531</f>
        <v>1.9398310840767978E-2</v>
      </c>
      <c r="H831" s="1081">
        <f t="shared" ca="1" si="357"/>
        <v>1.9398310840767978E-2</v>
      </c>
      <c r="I831" s="1081">
        <f t="shared" ca="1" si="357"/>
        <v>1.9398310840767978E-2</v>
      </c>
      <c r="J831" s="1081">
        <f t="shared" ca="1" si="357"/>
        <v>1.9398310840767978E-2</v>
      </c>
      <c r="K831" s="1081">
        <f t="shared" ca="1" si="357"/>
        <v>1.9398310840767978E-2</v>
      </c>
      <c r="L831" s="1081">
        <f t="shared" ca="1" si="357"/>
        <v>1.9398310840767978E-2</v>
      </c>
      <c r="M831" s="1081">
        <f t="shared" ca="1" si="357"/>
        <v>1.9398310840767978E-2</v>
      </c>
    </row>
    <row r="832" spans="2:13" ht="14" x14ac:dyDescent="0.15">
      <c r="B832" s="507"/>
      <c r="C832" s="8" t="s">
        <v>1675</v>
      </c>
      <c r="G832" s="1081">
        <f t="shared" ref="G832:M832" ca="1" si="358">G483/G$531</f>
        <v>0</v>
      </c>
      <c r="H832" s="1081">
        <f t="shared" ca="1" si="358"/>
        <v>0</v>
      </c>
      <c r="I832" s="1081">
        <f t="shared" ca="1" si="358"/>
        <v>0</v>
      </c>
      <c r="J832" s="1081">
        <f t="shared" ca="1" si="358"/>
        <v>0</v>
      </c>
      <c r="K832" s="1081">
        <f t="shared" ca="1" si="358"/>
        <v>0</v>
      </c>
      <c r="L832" s="1081">
        <f t="shared" ca="1" si="358"/>
        <v>0</v>
      </c>
      <c r="M832" s="1081">
        <f t="shared" ca="1" si="358"/>
        <v>0</v>
      </c>
    </row>
    <row r="833" spans="2:13" ht="14" x14ac:dyDescent="0.15">
      <c r="B833" s="507"/>
      <c r="C833" s="8" t="s">
        <v>1536</v>
      </c>
      <c r="G833" s="1081">
        <f t="shared" ref="G833:M833" ca="1" si="359">G484/G$531</f>
        <v>1.5537475312945234E-3</v>
      </c>
      <c r="H833" s="1081">
        <f t="shared" ca="1" si="359"/>
        <v>1.5537475312945234E-3</v>
      </c>
      <c r="I833" s="1081">
        <f t="shared" ca="1" si="359"/>
        <v>1.5537475312945234E-3</v>
      </c>
      <c r="J833" s="1081">
        <f t="shared" ca="1" si="359"/>
        <v>1.5537475312945234E-3</v>
      </c>
      <c r="K833" s="1081">
        <f t="shared" ca="1" si="359"/>
        <v>1.5537475312945234E-3</v>
      </c>
      <c r="L833" s="1081">
        <f t="shared" ca="1" si="359"/>
        <v>1.5537475312945234E-3</v>
      </c>
      <c r="M833" s="1081">
        <f t="shared" ca="1" si="359"/>
        <v>1.5537475312945234E-3</v>
      </c>
    </row>
    <row r="834" spans="2:13" ht="14" x14ac:dyDescent="0.15">
      <c r="B834" s="507"/>
      <c r="C834" s="8" t="s">
        <v>1676</v>
      </c>
      <c r="G834" s="1081">
        <f t="shared" ref="G834:M834" ca="1" si="360">G485/G$531</f>
        <v>2.0952058372062501E-2</v>
      </c>
      <c r="H834" s="1081">
        <f t="shared" ca="1" si="360"/>
        <v>2.0952058372062501E-2</v>
      </c>
      <c r="I834" s="1081">
        <f t="shared" ca="1" si="360"/>
        <v>2.0952058372062501E-2</v>
      </c>
      <c r="J834" s="1081">
        <f t="shared" ca="1" si="360"/>
        <v>2.0952058372062501E-2</v>
      </c>
      <c r="K834" s="1081">
        <f t="shared" ca="1" si="360"/>
        <v>2.0952058372062501E-2</v>
      </c>
      <c r="L834" s="1081">
        <f t="shared" ca="1" si="360"/>
        <v>2.0952058372062501E-2</v>
      </c>
      <c r="M834" s="1081">
        <f t="shared" ca="1" si="360"/>
        <v>2.0952058372062501E-2</v>
      </c>
    </row>
    <row r="835" spans="2:13" ht="14" x14ac:dyDescent="0.15">
      <c r="B835" s="507"/>
      <c r="C835" s="8"/>
      <c r="G835" s="1081"/>
      <c r="H835" s="1081"/>
      <c r="I835" s="1081"/>
      <c r="J835" s="1081"/>
      <c r="K835" s="1081"/>
      <c r="L835" s="1081"/>
      <c r="M835" s="1081"/>
    </row>
    <row r="836" spans="2:13" ht="14" x14ac:dyDescent="0.15">
      <c r="B836" s="507"/>
      <c r="C836" s="225" t="s">
        <v>1225</v>
      </c>
      <c r="G836" s="1081"/>
      <c r="H836" s="1081"/>
      <c r="I836" s="1081"/>
      <c r="J836" s="1081"/>
      <c r="K836" s="1081"/>
      <c r="L836" s="1081"/>
      <c r="M836" s="1081"/>
    </row>
    <row r="837" spans="2:13" ht="14" x14ac:dyDescent="0.15">
      <c r="B837" s="507"/>
      <c r="C837" s="8" t="s">
        <v>1673</v>
      </c>
      <c r="G837" s="1081">
        <f t="shared" ref="G837:M837" ca="1" si="361">G488/G$531</f>
        <v>0</v>
      </c>
      <c r="H837" s="1081">
        <f t="shared" ca="1" si="361"/>
        <v>0</v>
      </c>
      <c r="I837" s="1081">
        <f t="shared" ca="1" si="361"/>
        <v>0</v>
      </c>
      <c r="J837" s="1081">
        <f t="shared" ca="1" si="361"/>
        <v>0</v>
      </c>
      <c r="K837" s="1081">
        <f t="shared" ca="1" si="361"/>
        <v>0</v>
      </c>
      <c r="L837" s="1081">
        <f t="shared" ca="1" si="361"/>
        <v>0</v>
      </c>
      <c r="M837" s="1081">
        <f t="shared" ca="1" si="361"/>
        <v>0</v>
      </c>
    </row>
    <row r="838" spans="2:13" ht="14" x14ac:dyDescent="0.15">
      <c r="B838" s="507"/>
      <c r="C838" s="8" t="s">
        <v>1674</v>
      </c>
      <c r="G838" s="1081">
        <f t="shared" ref="G838:M838" ca="1" si="362">G489/G$531</f>
        <v>1.7769820983861574E-2</v>
      </c>
      <c r="H838" s="1081">
        <f t="shared" ca="1" si="362"/>
        <v>1.7769820983861574E-2</v>
      </c>
      <c r="I838" s="1081">
        <f t="shared" ca="1" si="362"/>
        <v>1.7769820983861574E-2</v>
      </c>
      <c r="J838" s="1081">
        <f t="shared" ca="1" si="362"/>
        <v>1.7769820983861574E-2</v>
      </c>
      <c r="K838" s="1081">
        <f t="shared" ca="1" si="362"/>
        <v>1.7769820983861574E-2</v>
      </c>
      <c r="L838" s="1081">
        <f t="shared" ca="1" si="362"/>
        <v>1.7769820983861574E-2</v>
      </c>
      <c r="M838" s="1081">
        <f t="shared" ca="1" si="362"/>
        <v>1.7769820983861574E-2</v>
      </c>
    </row>
    <row r="839" spans="2:13" ht="14" x14ac:dyDescent="0.15">
      <c r="B839" s="507"/>
      <c r="C839" s="8" t="s">
        <v>1675</v>
      </c>
      <c r="G839" s="1081">
        <f t="shared" ref="G839:M839" ca="1" si="363">G490/G$531</f>
        <v>0</v>
      </c>
      <c r="H839" s="1081">
        <f t="shared" ca="1" si="363"/>
        <v>0</v>
      </c>
      <c r="I839" s="1081">
        <f t="shared" ca="1" si="363"/>
        <v>0</v>
      </c>
      <c r="J839" s="1081">
        <f t="shared" ca="1" si="363"/>
        <v>0</v>
      </c>
      <c r="K839" s="1081">
        <f t="shared" ca="1" si="363"/>
        <v>0</v>
      </c>
      <c r="L839" s="1081">
        <f t="shared" ca="1" si="363"/>
        <v>0</v>
      </c>
      <c r="M839" s="1081">
        <f t="shared" ca="1" si="363"/>
        <v>0</v>
      </c>
    </row>
    <row r="840" spans="2:13" ht="14" x14ac:dyDescent="0.15">
      <c r="B840" s="507"/>
      <c r="C840" s="8" t="s">
        <v>1536</v>
      </c>
      <c r="G840" s="1081">
        <f t="shared" ref="G840:M840" ca="1" si="364">G491/G$531</f>
        <v>1.4456192316958877E-3</v>
      </c>
      <c r="H840" s="1081">
        <f t="shared" ca="1" si="364"/>
        <v>1.4456192316958877E-3</v>
      </c>
      <c r="I840" s="1081">
        <f t="shared" ca="1" si="364"/>
        <v>1.4456192316958877E-3</v>
      </c>
      <c r="J840" s="1081">
        <f t="shared" ca="1" si="364"/>
        <v>1.4456192316958877E-3</v>
      </c>
      <c r="K840" s="1081">
        <f t="shared" ca="1" si="364"/>
        <v>1.4456192316958877E-3</v>
      </c>
      <c r="L840" s="1081">
        <f t="shared" ca="1" si="364"/>
        <v>1.4456192316958877E-3</v>
      </c>
      <c r="M840" s="1081">
        <f t="shared" ca="1" si="364"/>
        <v>1.4456192316958877E-3</v>
      </c>
    </row>
    <row r="841" spans="2:13" ht="14" x14ac:dyDescent="0.15">
      <c r="B841" s="507"/>
      <c r="C841" s="8" t="s">
        <v>1676</v>
      </c>
      <c r="G841" s="1081">
        <f t="shared" ref="G841:M841" ca="1" si="365">G492/G$531</f>
        <v>1.9215440215557461E-2</v>
      </c>
      <c r="H841" s="1081">
        <f t="shared" ca="1" si="365"/>
        <v>1.9215440215557461E-2</v>
      </c>
      <c r="I841" s="1081">
        <f t="shared" ca="1" si="365"/>
        <v>1.9215440215557461E-2</v>
      </c>
      <c r="J841" s="1081">
        <f t="shared" ca="1" si="365"/>
        <v>1.9215440215557461E-2</v>
      </c>
      <c r="K841" s="1081">
        <f t="shared" ca="1" si="365"/>
        <v>1.9215440215557461E-2</v>
      </c>
      <c r="L841" s="1081">
        <f t="shared" ca="1" si="365"/>
        <v>1.9215440215557461E-2</v>
      </c>
      <c r="M841" s="1081">
        <f t="shared" ca="1" si="365"/>
        <v>1.9215440215557461E-2</v>
      </c>
    </row>
    <row r="842" spans="2:13" ht="14" x14ac:dyDescent="0.15">
      <c r="B842" s="507"/>
      <c r="C842" s="8"/>
      <c r="G842" s="1081"/>
      <c r="H842" s="1081"/>
      <c r="I842" s="1081"/>
      <c r="J842" s="1081"/>
      <c r="K842" s="1081"/>
      <c r="L842" s="1081"/>
      <c r="M842" s="1081"/>
    </row>
    <row r="843" spans="2:13" ht="14" x14ac:dyDescent="0.15">
      <c r="B843" s="507"/>
      <c r="C843" s="225" t="s">
        <v>1689</v>
      </c>
      <c r="G843" s="1081"/>
      <c r="H843" s="1081"/>
      <c r="I843" s="1081"/>
      <c r="J843" s="1081"/>
      <c r="K843" s="1081"/>
      <c r="L843" s="1081"/>
      <c r="M843" s="1081"/>
    </row>
    <row r="844" spans="2:13" ht="14" x14ac:dyDescent="0.15">
      <c r="B844" s="507"/>
      <c r="C844" s="8" t="s">
        <v>1673</v>
      </c>
      <c r="G844" s="1081">
        <f t="shared" ref="G844:M844" ca="1" si="366">G495/G$531</f>
        <v>0</v>
      </c>
      <c r="H844" s="1081">
        <f t="shared" ca="1" si="366"/>
        <v>0</v>
      </c>
      <c r="I844" s="1081">
        <f t="shared" ca="1" si="366"/>
        <v>0</v>
      </c>
      <c r="J844" s="1081">
        <f t="shared" ca="1" si="366"/>
        <v>0</v>
      </c>
      <c r="K844" s="1081">
        <f t="shared" ca="1" si="366"/>
        <v>0</v>
      </c>
      <c r="L844" s="1081">
        <f t="shared" ca="1" si="366"/>
        <v>0</v>
      </c>
      <c r="M844" s="1081">
        <f t="shared" ca="1" si="366"/>
        <v>0</v>
      </c>
    </row>
    <row r="845" spans="2:13" ht="14" x14ac:dyDescent="0.15">
      <c r="B845" s="507"/>
      <c r="C845" s="8" t="s">
        <v>1674</v>
      </c>
      <c r="G845" s="1081">
        <f t="shared" ref="G845:M845" ca="1" si="367">G496/G$531</f>
        <v>5.3774202752247709E-2</v>
      </c>
      <c r="H845" s="1081">
        <f t="shared" ca="1" si="367"/>
        <v>5.3774202752247709E-2</v>
      </c>
      <c r="I845" s="1081">
        <f t="shared" ca="1" si="367"/>
        <v>5.3774202752247709E-2</v>
      </c>
      <c r="J845" s="1081">
        <f t="shared" ca="1" si="367"/>
        <v>5.3774202752247709E-2</v>
      </c>
      <c r="K845" s="1081">
        <f t="shared" ca="1" si="367"/>
        <v>5.3774202752247709E-2</v>
      </c>
      <c r="L845" s="1081">
        <f t="shared" ca="1" si="367"/>
        <v>5.3774202752247709E-2</v>
      </c>
      <c r="M845" s="1081">
        <f t="shared" ca="1" si="367"/>
        <v>5.3774202752247709E-2</v>
      </c>
    </row>
    <row r="846" spans="2:13" ht="14" x14ac:dyDescent="0.15">
      <c r="B846" s="507"/>
      <c r="C846" s="8" t="s">
        <v>1675</v>
      </c>
      <c r="G846" s="1081">
        <f t="shared" ref="G846:M846" ca="1" si="368">G497/G$531</f>
        <v>0</v>
      </c>
      <c r="H846" s="1081">
        <f t="shared" ca="1" si="368"/>
        <v>0</v>
      </c>
      <c r="I846" s="1081">
        <f t="shared" ca="1" si="368"/>
        <v>0</v>
      </c>
      <c r="J846" s="1081">
        <f t="shared" ca="1" si="368"/>
        <v>0</v>
      </c>
      <c r="K846" s="1081">
        <f t="shared" ca="1" si="368"/>
        <v>0</v>
      </c>
      <c r="L846" s="1081">
        <f t="shared" ca="1" si="368"/>
        <v>0</v>
      </c>
      <c r="M846" s="1081">
        <f t="shared" ca="1" si="368"/>
        <v>0</v>
      </c>
    </row>
    <row r="847" spans="2:13" ht="14" x14ac:dyDescent="0.15">
      <c r="B847" s="507"/>
      <c r="C847" s="8" t="s">
        <v>1536</v>
      </c>
      <c r="G847" s="1081">
        <f t="shared" ref="G847:M847" ca="1" si="369">G498/G$531</f>
        <v>4.5051373399887526E-3</v>
      </c>
      <c r="H847" s="1081">
        <f t="shared" ca="1" si="369"/>
        <v>4.5051373399887526E-3</v>
      </c>
      <c r="I847" s="1081">
        <f t="shared" ca="1" si="369"/>
        <v>4.5051373399887526E-3</v>
      </c>
      <c r="J847" s="1081">
        <f t="shared" ca="1" si="369"/>
        <v>4.5051373399887526E-3</v>
      </c>
      <c r="K847" s="1081">
        <f t="shared" ca="1" si="369"/>
        <v>4.5051373399887526E-3</v>
      </c>
      <c r="L847" s="1081">
        <f t="shared" ca="1" si="369"/>
        <v>4.5051373399887526E-3</v>
      </c>
      <c r="M847" s="1081">
        <f t="shared" ca="1" si="369"/>
        <v>4.5051373399887526E-3</v>
      </c>
    </row>
    <row r="848" spans="2:13" ht="14" x14ac:dyDescent="0.15">
      <c r="B848" s="507"/>
      <c r="C848" s="8" t="s">
        <v>1676</v>
      </c>
      <c r="G848" s="1081">
        <f t="shared" ref="G848:M848" ca="1" si="370">G499/G$531</f>
        <v>5.8279340092236474E-2</v>
      </c>
      <c r="H848" s="1081">
        <f t="shared" ca="1" si="370"/>
        <v>5.8279340092236474E-2</v>
      </c>
      <c r="I848" s="1081">
        <f t="shared" ca="1" si="370"/>
        <v>5.8279340092236474E-2</v>
      </c>
      <c r="J848" s="1081">
        <f t="shared" ca="1" si="370"/>
        <v>5.8279340092236474E-2</v>
      </c>
      <c r="K848" s="1081">
        <f t="shared" ca="1" si="370"/>
        <v>5.8279340092236474E-2</v>
      </c>
      <c r="L848" s="1081">
        <f t="shared" ca="1" si="370"/>
        <v>5.8279340092236474E-2</v>
      </c>
      <c r="M848" s="1081">
        <f t="shared" ca="1" si="370"/>
        <v>5.8279340092236474E-2</v>
      </c>
    </row>
    <row r="849" spans="2:13" ht="14" x14ac:dyDescent="0.15">
      <c r="B849" s="507"/>
      <c r="C849" s="8"/>
      <c r="G849" s="1081"/>
      <c r="H849" s="1081"/>
      <c r="I849" s="1081"/>
      <c r="J849" s="1081"/>
      <c r="K849" s="1081"/>
      <c r="L849" s="1081"/>
      <c r="M849" s="1081"/>
    </row>
    <row r="850" spans="2:13" ht="14" x14ac:dyDescent="0.15">
      <c r="B850" s="507" t="s">
        <v>1690</v>
      </c>
      <c r="C850" s="8"/>
      <c r="G850" s="1081"/>
      <c r="H850" s="1081"/>
      <c r="I850" s="1081"/>
      <c r="J850" s="1081"/>
      <c r="K850" s="1081"/>
      <c r="L850" s="1081"/>
      <c r="M850" s="1081"/>
    </row>
    <row r="851" spans="2:13" x14ac:dyDescent="0.15">
      <c r="C851" s="8" t="s">
        <v>1673</v>
      </c>
      <c r="G851" s="1081">
        <f t="shared" ref="G851:M851" ca="1" si="371">G502/G$531</f>
        <v>7.7344760231511133E-4</v>
      </c>
      <c r="H851" s="1081">
        <f t="shared" ca="1" si="371"/>
        <v>7.7344760231511133E-4</v>
      </c>
      <c r="I851" s="1081">
        <f t="shared" ca="1" si="371"/>
        <v>7.7344760231511133E-4</v>
      </c>
      <c r="J851" s="1081">
        <f t="shared" ca="1" si="371"/>
        <v>7.7344760231511133E-4</v>
      </c>
      <c r="K851" s="1081">
        <f t="shared" ca="1" si="371"/>
        <v>7.7344760231511133E-4</v>
      </c>
      <c r="L851" s="1081">
        <f t="shared" ca="1" si="371"/>
        <v>7.7344760231511133E-4</v>
      </c>
      <c r="M851" s="1081">
        <f t="shared" ca="1" si="371"/>
        <v>7.7344760231511133E-4</v>
      </c>
    </row>
    <row r="852" spans="2:13" x14ac:dyDescent="0.15">
      <c r="C852" s="8" t="s">
        <v>1674</v>
      </c>
      <c r="G852" s="1081">
        <f t="shared" ref="G852:M852" ca="1" si="372">G503/G$531</f>
        <v>5.5707756718140225E-2</v>
      </c>
      <c r="H852" s="1081">
        <f t="shared" ca="1" si="372"/>
        <v>5.5707756718140225E-2</v>
      </c>
      <c r="I852" s="1081">
        <f t="shared" ca="1" si="372"/>
        <v>5.5707756718140225E-2</v>
      </c>
      <c r="J852" s="1081">
        <f t="shared" ca="1" si="372"/>
        <v>5.5707756718140225E-2</v>
      </c>
      <c r="K852" s="1081">
        <f t="shared" ca="1" si="372"/>
        <v>5.5707756718140225E-2</v>
      </c>
      <c r="L852" s="1081">
        <f t="shared" ca="1" si="372"/>
        <v>5.5707756718140225E-2</v>
      </c>
      <c r="M852" s="1081">
        <f t="shared" ca="1" si="372"/>
        <v>5.5707756718140225E-2</v>
      </c>
    </row>
    <row r="853" spans="2:13" x14ac:dyDescent="0.15">
      <c r="C853" s="8" t="s">
        <v>1675</v>
      </c>
      <c r="G853" s="1081">
        <f t="shared" ref="G853:M853" ca="1" si="373">G504/G$531</f>
        <v>1.6678475097968358E-4</v>
      </c>
      <c r="H853" s="1081">
        <f t="shared" ca="1" si="373"/>
        <v>1.6678475097968358E-4</v>
      </c>
      <c r="I853" s="1081">
        <f t="shared" ca="1" si="373"/>
        <v>1.6678475097968358E-4</v>
      </c>
      <c r="J853" s="1081">
        <f t="shared" ca="1" si="373"/>
        <v>1.6678475097968358E-4</v>
      </c>
      <c r="K853" s="1081">
        <f t="shared" ca="1" si="373"/>
        <v>1.6678475097968358E-4</v>
      </c>
      <c r="L853" s="1081">
        <f t="shared" ca="1" si="373"/>
        <v>1.6678475097968358E-4</v>
      </c>
      <c r="M853" s="1081">
        <f t="shared" ca="1" si="373"/>
        <v>1.6678475097968358E-4</v>
      </c>
    </row>
    <row r="854" spans="2:13" x14ac:dyDescent="0.15">
      <c r="C854" s="8" t="s">
        <v>1536</v>
      </c>
      <c r="G854" s="1081">
        <f t="shared" ref="G854:M854" ca="1" si="374">G505/G$531</f>
        <v>4.7365882377507496E-3</v>
      </c>
      <c r="H854" s="1081">
        <f t="shared" ca="1" si="374"/>
        <v>4.7365882377507496E-3</v>
      </c>
      <c r="I854" s="1081">
        <f t="shared" ca="1" si="374"/>
        <v>4.7365882377507496E-3</v>
      </c>
      <c r="J854" s="1081">
        <f t="shared" ca="1" si="374"/>
        <v>4.7365882377507496E-3</v>
      </c>
      <c r="K854" s="1081">
        <f t="shared" ca="1" si="374"/>
        <v>4.7365882377507496E-3</v>
      </c>
      <c r="L854" s="1081">
        <f t="shared" ca="1" si="374"/>
        <v>4.7365882377507496E-3</v>
      </c>
      <c r="M854" s="1081">
        <f t="shared" ca="1" si="374"/>
        <v>4.7365882377507496E-3</v>
      </c>
    </row>
    <row r="855" spans="2:13" x14ac:dyDescent="0.15">
      <c r="C855" s="8" t="s">
        <v>1676</v>
      </c>
      <c r="G855" s="1081">
        <f t="shared" ref="G855:M855" ca="1" si="375">G506/G$531</f>
        <v>6.1384577309185777E-2</v>
      </c>
      <c r="H855" s="1081">
        <f t="shared" ca="1" si="375"/>
        <v>6.1384577309185777E-2</v>
      </c>
      <c r="I855" s="1081">
        <f t="shared" ca="1" si="375"/>
        <v>6.1384577309185777E-2</v>
      </c>
      <c r="J855" s="1081">
        <f t="shared" ca="1" si="375"/>
        <v>6.1384577309185777E-2</v>
      </c>
      <c r="K855" s="1081">
        <f t="shared" ca="1" si="375"/>
        <v>6.1384577309185777E-2</v>
      </c>
      <c r="L855" s="1081">
        <f t="shared" ca="1" si="375"/>
        <v>6.1384577309185777E-2</v>
      </c>
      <c r="M855" s="1081">
        <f t="shared" ca="1" si="375"/>
        <v>6.1384577309185777E-2</v>
      </c>
    </row>
    <row r="856" spans="2:13" x14ac:dyDescent="0.15">
      <c r="C856" s="8"/>
      <c r="G856" s="1081"/>
      <c r="H856" s="1081"/>
      <c r="I856" s="1081"/>
      <c r="J856" s="1081"/>
      <c r="K856" s="1081"/>
      <c r="L856" s="1081"/>
      <c r="M856" s="1081"/>
    </row>
    <row r="857" spans="2:13" ht="16" x14ac:dyDescent="0.2">
      <c r="B857" s="5" t="s">
        <v>1691</v>
      </c>
      <c r="C857" s="8"/>
      <c r="G857" s="1081"/>
      <c r="H857" s="1081"/>
      <c r="I857" s="1081"/>
      <c r="J857" s="1081"/>
      <c r="K857" s="1081"/>
      <c r="L857" s="1081"/>
      <c r="M857" s="1081"/>
    </row>
    <row r="858" spans="2:13" ht="14" x14ac:dyDescent="0.15">
      <c r="B858" s="507" t="s">
        <v>1692</v>
      </c>
      <c r="C858" s="8"/>
      <c r="G858" s="1081"/>
      <c r="H858" s="1081"/>
      <c r="I858" s="1081"/>
      <c r="J858" s="1081"/>
      <c r="K858" s="1081"/>
      <c r="L858" s="1081"/>
      <c r="M858" s="1081"/>
    </row>
    <row r="859" spans="2:13" x14ac:dyDescent="0.15">
      <c r="B859" s="8" t="s">
        <v>1693</v>
      </c>
      <c r="G859" s="1081">
        <f t="shared" ref="G859:M859" ca="1" si="376">G510/G$531</f>
        <v>3.6012178351757011E-2</v>
      </c>
      <c r="H859" s="1081">
        <f t="shared" ca="1" si="376"/>
        <v>3.6012178351757011E-2</v>
      </c>
      <c r="I859" s="1081">
        <f t="shared" ca="1" si="376"/>
        <v>3.6012178351757011E-2</v>
      </c>
      <c r="J859" s="1081">
        <f t="shared" ca="1" si="376"/>
        <v>3.6012178351757011E-2</v>
      </c>
      <c r="K859" s="1081">
        <f t="shared" ca="1" si="376"/>
        <v>3.6012178351757011E-2</v>
      </c>
      <c r="L859" s="1081">
        <f t="shared" ca="1" si="376"/>
        <v>3.6012178351757011E-2</v>
      </c>
      <c r="M859" s="1081">
        <f t="shared" ca="1" si="376"/>
        <v>3.6012178351757011E-2</v>
      </c>
    </row>
    <row r="860" spans="2:13" x14ac:dyDescent="0.15">
      <c r="B860" s="8" t="s">
        <v>1694</v>
      </c>
      <c r="G860" s="1081">
        <f t="shared" ref="G860:M860" ca="1" si="377">G511/G$531</f>
        <v>3.040053643978147E-2</v>
      </c>
      <c r="H860" s="1081">
        <f t="shared" ca="1" si="377"/>
        <v>3.040053643978147E-2</v>
      </c>
      <c r="I860" s="1081">
        <f t="shared" ca="1" si="377"/>
        <v>3.040053643978147E-2</v>
      </c>
      <c r="J860" s="1081">
        <f t="shared" ca="1" si="377"/>
        <v>3.040053643978147E-2</v>
      </c>
      <c r="K860" s="1081">
        <f t="shared" ca="1" si="377"/>
        <v>3.040053643978147E-2</v>
      </c>
      <c r="L860" s="1081">
        <f t="shared" ca="1" si="377"/>
        <v>3.040053643978147E-2</v>
      </c>
      <c r="M860" s="1081">
        <f t="shared" ca="1" si="377"/>
        <v>3.040053643978147E-2</v>
      </c>
    </row>
    <row r="861" spans="2:13" x14ac:dyDescent="0.15">
      <c r="B861" s="8" t="s">
        <v>1695</v>
      </c>
      <c r="G861" s="1081">
        <f t="shared" ref="G861:M861" ca="1" si="378">G512/G$531</f>
        <v>4.0275627560579084E-2</v>
      </c>
      <c r="H861" s="1081">
        <f t="shared" ca="1" si="378"/>
        <v>4.0275627560579084E-2</v>
      </c>
      <c r="I861" s="1081">
        <f t="shared" ca="1" si="378"/>
        <v>4.0275627560579084E-2</v>
      </c>
      <c r="J861" s="1081">
        <f t="shared" ca="1" si="378"/>
        <v>4.0275627560579084E-2</v>
      </c>
      <c r="K861" s="1081">
        <f t="shared" ca="1" si="378"/>
        <v>4.0275627560579084E-2</v>
      </c>
      <c r="L861" s="1081">
        <f t="shared" ca="1" si="378"/>
        <v>4.0275627560579084E-2</v>
      </c>
      <c r="M861" s="1081">
        <f t="shared" ca="1" si="378"/>
        <v>4.0275627560579084E-2</v>
      </c>
    </row>
    <row r="862" spans="2:13" x14ac:dyDescent="0.15">
      <c r="B862" s="8" t="s">
        <v>1696</v>
      </c>
      <c r="G862" s="1081">
        <f t="shared" ref="G862:M862" ca="1" si="379">G513/G$531</f>
        <v>6.098123328012915E-3</v>
      </c>
      <c r="H862" s="1081">
        <f t="shared" ca="1" si="379"/>
        <v>6.098123328012915E-3</v>
      </c>
      <c r="I862" s="1081">
        <f t="shared" ca="1" si="379"/>
        <v>6.098123328012915E-3</v>
      </c>
      <c r="J862" s="1081">
        <f t="shared" ca="1" si="379"/>
        <v>6.098123328012915E-3</v>
      </c>
      <c r="K862" s="1081">
        <f t="shared" ca="1" si="379"/>
        <v>6.098123328012915E-3</v>
      </c>
      <c r="L862" s="1081">
        <f t="shared" ca="1" si="379"/>
        <v>6.098123328012915E-3</v>
      </c>
      <c r="M862" s="1081">
        <f t="shared" ca="1" si="379"/>
        <v>6.098123328012915E-3</v>
      </c>
    </row>
    <row r="863" spans="2:13" x14ac:dyDescent="0.15">
      <c r="B863" s="8" t="s">
        <v>1697</v>
      </c>
      <c r="G863" s="1081">
        <f t="shared" ref="G863:M863" ca="1" si="380">G514/G$531</f>
        <v>5.5171949502628159E-3</v>
      </c>
      <c r="H863" s="1081">
        <f t="shared" ca="1" si="380"/>
        <v>5.5171949502628159E-3</v>
      </c>
      <c r="I863" s="1081">
        <f t="shared" ca="1" si="380"/>
        <v>5.5171949502628159E-3</v>
      </c>
      <c r="J863" s="1081">
        <f t="shared" ca="1" si="380"/>
        <v>5.5171949502628159E-3</v>
      </c>
      <c r="K863" s="1081">
        <f t="shared" ca="1" si="380"/>
        <v>5.5171949502628159E-3</v>
      </c>
      <c r="L863" s="1081">
        <f t="shared" ca="1" si="380"/>
        <v>5.5171949502628159E-3</v>
      </c>
      <c r="M863" s="1081">
        <f t="shared" ca="1" si="380"/>
        <v>5.5171949502628159E-3</v>
      </c>
    </row>
    <row r="864" spans="2:13" x14ac:dyDescent="0.15">
      <c r="B864" s="8" t="s">
        <v>1698</v>
      </c>
      <c r="G864" s="1081">
        <f t="shared" ref="G864:M864" ca="1" si="381">G515/G$531</f>
        <v>7.2670994084207711E-3</v>
      </c>
      <c r="H864" s="1081">
        <f t="shared" ca="1" si="381"/>
        <v>7.2670994084207711E-3</v>
      </c>
      <c r="I864" s="1081">
        <f t="shared" ca="1" si="381"/>
        <v>7.2670994084207711E-3</v>
      </c>
      <c r="J864" s="1081">
        <f t="shared" ca="1" si="381"/>
        <v>7.2670994084207711E-3</v>
      </c>
      <c r="K864" s="1081">
        <f t="shared" ca="1" si="381"/>
        <v>7.2670994084207711E-3</v>
      </c>
      <c r="L864" s="1081">
        <f t="shared" ca="1" si="381"/>
        <v>7.2670994084207711E-3</v>
      </c>
      <c r="M864" s="1081">
        <f t="shared" ca="1" si="381"/>
        <v>7.2670994084207711E-3</v>
      </c>
    </row>
    <row r="865" spans="2:13" x14ac:dyDescent="0.15">
      <c r="B865" s="8" t="s">
        <v>1699</v>
      </c>
      <c r="G865" s="1081">
        <f t="shared" ref="G865:M865" ca="1" si="382">G516/G$531</f>
        <v>6.1384577309185777E-2</v>
      </c>
      <c r="H865" s="1081">
        <f t="shared" ca="1" si="382"/>
        <v>6.1384577309185777E-2</v>
      </c>
      <c r="I865" s="1081">
        <f t="shared" ca="1" si="382"/>
        <v>6.1384577309185777E-2</v>
      </c>
      <c r="J865" s="1081">
        <f t="shared" ca="1" si="382"/>
        <v>6.1384577309185777E-2</v>
      </c>
      <c r="K865" s="1081">
        <f t="shared" ca="1" si="382"/>
        <v>6.1384577309185777E-2</v>
      </c>
      <c r="L865" s="1081">
        <f t="shared" ca="1" si="382"/>
        <v>6.1384577309185777E-2</v>
      </c>
      <c r="M865" s="1081">
        <f t="shared" ca="1" si="382"/>
        <v>6.1384577309185777E-2</v>
      </c>
    </row>
    <row r="866" spans="2:13" x14ac:dyDescent="0.15">
      <c r="B866" s="8" t="s">
        <v>1700</v>
      </c>
      <c r="G866" s="1081">
        <f t="shared" ref="G866:M866" ca="1" si="383">G517/G$531</f>
        <v>0.18695533734799985</v>
      </c>
      <c r="H866" s="1081">
        <f t="shared" ca="1" si="383"/>
        <v>0.18695533734799985</v>
      </c>
      <c r="I866" s="1081">
        <f t="shared" ca="1" si="383"/>
        <v>0.18695533734799985</v>
      </c>
      <c r="J866" s="1081">
        <f t="shared" ca="1" si="383"/>
        <v>0.18695533734799985</v>
      </c>
      <c r="K866" s="1081">
        <f t="shared" ca="1" si="383"/>
        <v>0.18695533734799985</v>
      </c>
      <c r="L866" s="1081">
        <f t="shared" ca="1" si="383"/>
        <v>0.18695533734799985</v>
      </c>
      <c r="M866" s="1081">
        <f t="shared" ca="1" si="383"/>
        <v>0.18695533734799985</v>
      </c>
    </row>
    <row r="867" spans="2:13" x14ac:dyDescent="0.15">
      <c r="B867" s="8"/>
      <c r="G867" s="1081"/>
      <c r="H867" s="1081"/>
      <c r="I867" s="1081"/>
      <c r="J867" s="1081"/>
      <c r="K867" s="1081"/>
      <c r="L867" s="1081"/>
      <c r="M867" s="1081"/>
    </row>
    <row r="868" spans="2:13" ht="14" x14ac:dyDescent="0.15">
      <c r="B868" s="507" t="s">
        <v>1701</v>
      </c>
      <c r="G868" s="1081"/>
      <c r="H868" s="1081"/>
      <c r="I868" s="1081"/>
      <c r="J868" s="1081"/>
      <c r="K868" s="1081"/>
      <c r="L868" s="1081"/>
      <c r="M868" s="1081"/>
    </row>
    <row r="869" spans="2:13" x14ac:dyDescent="0.15">
      <c r="B869" s="8" t="s">
        <v>1542</v>
      </c>
      <c r="G869" s="1081">
        <f t="shared" ref="G869:M869" ca="1" si="384">G520/G$531</f>
        <v>2.7657180185411398E-2</v>
      </c>
      <c r="H869" s="1081">
        <f t="shared" ca="1" si="384"/>
        <v>2.7657180185411398E-2</v>
      </c>
      <c r="I869" s="1081">
        <f t="shared" ca="1" si="384"/>
        <v>2.7657180185411398E-2</v>
      </c>
      <c r="J869" s="1081">
        <f t="shared" ca="1" si="384"/>
        <v>2.7657180185411398E-2</v>
      </c>
      <c r="K869" s="1081">
        <f t="shared" ca="1" si="384"/>
        <v>2.7657180185411398E-2</v>
      </c>
      <c r="L869" s="1081">
        <f t="shared" ca="1" si="384"/>
        <v>2.7657180185411398E-2</v>
      </c>
      <c r="M869" s="1081">
        <f t="shared" ca="1" si="384"/>
        <v>2.7657180185411398E-2</v>
      </c>
    </row>
    <row r="870" spans="2:13" x14ac:dyDescent="0.15">
      <c r="B870" s="8" t="s">
        <v>1702</v>
      </c>
      <c r="G870" s="1081">
        <f t="shared" ref="G870:M870" ca="1" si="385">G521/G$531</f>
        <v>0.13759620232950215</v>
      </c>
      <c r="H870" s="1081">
        <f t="shared" ca="1" si="385"/>
        <v>0.13759620232950215</v>
      </c>
      <c r="I870" s="1081">
        <f t="shared" ca="1" si="385"/>
        <v>0.13759620232950215</v>
      </c>
      <c r="J870" s="1081">
        <f t="shared" ca="1" si="385"/>
        <v>0.13759620232950215</v>
      </c>
      <c r="K870" s="1081">
        <f t="shared" ca="1" si="385"/>
        <v>0.13759620232950215</v>
      </c>
      <c r="L870" s="1081">
        <f t="shared" ca="1" si="385"/>
        <v>0.13759620232950215</v>
      </c>
      <c r="M870" s="1081">
        <f t="shared" ca="1" si="385"/>
        <v>0.13759620232950215</v>
      </c>
    </row>
    <row r="871" spans="2:13" x14ac:dyDescent="0.15">
      <c r="B871" s="8" t="s">
        <v>1703</v>
      </c>
      <c r="G871" s="1081">
        <f t="shared" ref="G871:M871" ca="1" si="386">G522/G$531</f>
        <v>8.3032560783953147E-3</v>
      </c>
      <c r="H871" s="1081">
        <f t="shared" ca="1" si="386"/>
        <v>8.3032560783953147E-3</v>
      </c>
      <c r="I871" s="1081">
        <f t="shared" ca="1" si="386"/>
        <v>8.3032560783953147E-3</v>
      </c>
      <c r="J871" s="1081">
        <f t="shared" ca="1" si="386"/>
        <v>8.3032560783953147E-3</v>
      </c>
      <c r="K871" s="1081">
        <f t="shared" ca="1" si="386"/>
        <v>8.3032560783953147E-3</v>
      </c>
      <c r="L871" s="1081">
        <f t="shared" ca="1" si="386"/>
        <v>8.3032560783953147E-3</v>
      </c>
      <c r="M871" s="1081">
        <f t="shared" ca="1" si="386"/>
        <v>8.3032560783953147E-3</v>
      </c>
    </row>
    <row r="872" spans="2:13" x14ac:dyDescent="0.15">
      <c r="B872" s="8" t="s">
        <v>1444</v>
      </c>
      <c r="G872" s="1081">
        <f t="shared" ref="G872:M872" ca="1" si="387">G523/G$531</f>
        <v>1.3398698754690975E-2</v>
      </c>
      <c r="H872" s="1081">
        <f t="shared" ca="1" si="387"/>
        <v>1.3398698754690975E-2</v>
      </c>
      <c r="I872" s="1081">
        <f t="shared" ca="1" si="387"/>
        <v>1.3398698754690975E-2</v>
      </c>
      <c r="J872" s="1081">
        <f t="shared" ca="1" si="387"/>
        <v>1.3398698754690975E-2</v>
      </c>
      <c r="K872" s="1081">
        <f t="shared" ca="1" si="387"/>
        <v>1.3398698754690975E-2</v>
      </c>
      <c r="L872" s="1081">
        <f t="shared" ca="1" si="387"/>
        <v>1.3398698754690975E-2</v>
      </c>
      <c r="M872" s="1081">
        <f t="shared" ca="1" si="387"/>
        <v>1.3398698754690975E-2</v>
      </c>
    </row>
    <row r="873" spans="2:13" x14ac:dyDescent="0.15">
      <c r="B873" s="8" t="s">
        <v>1700</v>
      </c>
      <c r="G873" s="1081">
        <f t="shared" ref="G873:M873" ca="1" si="388">G524/G$531</f>
        <v>0.18695533734799985</v>
      </c>
      <c r="H873" s="1081">
        <f t="shared" ca="1" si="388"/>
        <v>0.18695533734799985</v>
      </c>
      <c r="I873" s="1081">
        <f t="shared" ca="1" si="388"/>
        <v>0.18695533734799985</v>
      </c>
      <c r="J873" s="1081">
        <f t="shared" ca="1" si="388"/>
        <v>0.18695533734799985</v>
      </c>
      <c r="K873" s="1081">
        <f t="shared" ca="1" si="388"/>
        <v>0.18695533734799985</v>
      </c>
      <c r="L873" s="1081">
        <f t="shared" ca="1" si="388"/>
        <v>0.18695533734799985</v>
      </c>
      <c r="M873" s="1081">
        <f t="shared" ca="1" si="388"/>
        <v>0.18695533734799985</v>
      </c>
    </row>
    <row r="874" spans="2:13" x14ac:dyDescent="0.15">
      <c r="C874" s="8"/>
      <c r="G874" s="1081"/>
      <c r="H874" s="1081"/>
      <c r="I874" s="1081"/>
      <c r="J874" s="1081"/>
      <c r="K874" s="1081"/>
      <c r="L874" s="1081"/>
      <c r="M874" s="1081"/>
    </row>
    <row r="875" spans="2:13" ht="16" x14ac:dyDescent="0.2">
      <c r="B875" s="5" t="s">
        <v>1704</v>
      </c>
      <c r="C875" s="8"/>
      <c r="G875" s="1081"/>
      <c r="H875" s="1081"/>
      <c r="I875" s="1081"/>
      <c r="J875" s="1081"/>
      <c r="K875" s="1081"/>
      <c r="L875" s="1081"/>
      <c r="M875" s="1081"/>
    </row>
    <row r="876" spans="2:13" x14ac:dyDescent="0.15">
      <c r="B876" s="8" t="s">
        <v>1705</v>
      </c>
      <c r="C876" s="8"/>
      <c r="G876" s="1081">
        <f t="shared" ref="G876:M876" ca="1" si="389">G527/G$531</f>
        <v>0.65726677544332668</v>
      </c>
      <c r="H876" s="1081">
        <f t="shared" ca="1" si="389"/>
        <v>0.65726677544332668</v>
      </c>
      <c r="I876" s="1081">
        <f t="shared" ca="1" si="389"/>
        <v>0.65726677544332668</v>
      </c>
      <c r="J876" s="1081">
        <f t="shared" ca="1" si="389"/>
        <v>0.65726677544332668</v>
      </c>
      <c r="K876" s="1081">
        <f t="shared" ca="1" si="389"/>
        <v>0.65726677544332668</v>
      </c>
      <c r="L876" s="1081">
        <f t="shared" ca="1" si="389"/>
        <v>0.65726677544332668</v>
      </c>
      <c r="M876" s="1081">
        <f t="shared" ca="1" si="389"/>
        <v>0.65726677544332668</v>
      </c>
    </row>
    <row r="877" spans="2:13" x14ac:dyDescent="0.15">
      <c r="B877" s="8" t="s">
        <v>1706</v>
      </c>
      <c r="C877" s="8"/>
      <c r="G877" s="1081">
        <f t="shared" ref="G877:M877" ca="1" si="390">G528/G$531</f>
        <v>0.12498383810008154</v>
      </c>
      <c r="H877" s="1081">
        <f t="shared" ca="1" si="390"/>
        <v>0.12498383810008154</v>
      </c>
      <c r="I877" s="1081">
        <f t="shared" ca="1" si="390"/>
        <v>0.12498383810008154</v>
      </c>
      <c r="J877" s="1081">
        <f t="shared" ca="1" si="390"/>
        <v>0.12498383810008154</v>
      </c>
      <c r="K877" s="1081">
        <f t="shared" ca="1" si="390"/>
        <v>0.12498383810008154</v>
      </c>
      <c r="L877" s="1081">
        <f t="shared" ca="1" si="390"/>
        <v>0.12498383810008154</v>
      </c>
      <c r="M877" s="1081">
        <f t="shared" ca="1" si="390"/>
        <v>0.12498383810008154</v>
      </c>
    </row>
    <row r="878" spans="2:13" x14ac:dyDescent="0.15">
      <c r="B878" s="8" t="s">
        <v>1707</v>
      </c>
      <c r="C878" s="8"/>
      <c r="G878" s="1081">
        <f t="shared" ref="G878:M878" ca="1" si="391">G529/G$531</f>
        <v>3.079404910859191E-2</v>
      </c>
      <c r="H878" s="1081">
        <f t="shared" ca="1" si="391"/>
        <v>3.079404910859191E-2</v>
      </c>
      <c r="I878" s="1081">
        <f t="shared" ca="1" si="391"/>
        <v>3.079404910859191E-2</v>
      </c>
      <c r="J878" s="1081">
        <f t="shared" ca="1" si="391"/>
        <v>3.079404910859191E-2</v>
      </c>
      <c r="K878" s="1081">
        <f t="shared" ca="1" si="391"/>
        <v>3.079404910859191E-2</v>
      </c>
      <c r="L878" s="1081">
        <f t="shared" ca="1" si="391"/>
        <v>3.079404910859191E-2</v>
      </c>
      <c r="M878" s="1081">
        <f t="shared" ca="1" si="391"/>
        <v>3.079404910859191E-2</v>
      </c>
    </row>
    <row r="879" spans="2:13" x14ac:dyDescent="0.15">
      <c r="B879" s="8" t="s">
        <v>1708</v>
      </c>
      <c r="C879" s="8"/>
      <c r="G879" s="1081">
        <f t="shared" ref="G879:M879" ca="1" si="392">G530/G$531</f>
        <v>0.18695533734799985</v>
      </c>
      <c r="H879" s="1081">
        <f t="shared" ca="1" si="392"/>
        <v>0.18695533734799985</v>
      </c>
      <c r="I879" s="1081">
        <f t="shared" ca="1" si="392"/>
        <v>0.18695533734799985</v>
      </c>
      <c r="J879" s="1081">
        <f t="shared" ca="1" si="392"/>
        <v>0.18695533734799985</v>
      </c>
      <c r="K879" s="1081">
        <f t="shared" ca="1" si="392"/>
        <v>0.18695533734799985</v>
      </c>
      <c r="L879" s="1081">
        <f t="shared" ca="1" si="392"/>
        <v>0.18695533734799985</v>
      </c>
      <c r="M879" s="1081">
        <f t="shared" ca="1" si="392"/>
        <v>0.18695533734799985</v>
      </c>
    </row>
    <row r="880" spans="2:13" x14ac:dyDescent="0.15">
      <c r="B880" s="8" t="s">
        <v>1709</v>
      </c>
      <c r="C880" s="8"/>
      <c r="G880" s="1081">
        <f t="shared" ref="G880:M880" ca="1" si="393">G531/G$531</f>
        <v>1</v>
      </c>
      <c r="H880" s="1081">
        <f t="shared" ca="1" si="393"/>
        <v>1</v>
      </c>
      <c r="I880" s="1081">
        <f t="shared" ca="1" si="393"/>
        <v>1</v>
      </c>
      <c r="J880" s="1081">
        <f t="shared" ca="1" si="393"/>
        <v>1</v>
      </c>
      <c r="K880" s="1081">
        <f t="shared" ca="1" si="393"/>
        <v>1</v>
      </c>
      <c r="L880" s="1081">
        <f t="shared" ca="1" si="393"/>
        <v>1</v>
      </c>
      <c r="M880" s="1081">
        <f t="shared" ca="1" si="393"/>
        <v>1</v>
      </c>
    </row>
  </sheetData>
  <mergeCells count="14">
    <mergeCell ref="B533:M533"/>
    <mergeCell ref="B1:M1"/>
    <mergeCell ref="N1:O1"/>
    <mergeCell ref="B2:M2"/>
    <mergeCell ref="B3:M3"/>
    <mergeCell ref="B4:E4"/>
    <mergeCell ref="G4:M4"/>
    <mergeCell ref="B177:M177"/>
    <mergeCell ref="B103:M103"/>
    <mergeCell ref="B5:E5"/>
    <mergeCell ref="G5:M5"/>
    <mergeCell ref="B13:M13"/>
    <mergeCell ref="B19:D19"/>
    <mergeCell ref="B26:M26"/>
  </mergeCells>
  <hyperlinks>
    <hyperlink ref="N2" location="Dashboard!A1" display="Dashboard" xr:uid="{E65D5371-AC54-4B40-96B3-857199C29D89}"/>
    <hyperlink ref="N3" location="'Summary of Results'!A1" display="Summary of Results" xr:uid="{D2641C20-3B3D-488D-BB16-0CA114579700}"/>
    <hyperlink ref="N4" location="Chem!A1" display="Chem" xr:uid="{9E3396DF-4192-4AF1-A9DF-61834D61A98A}"/>
    <hyperlink ref="N5" location="'Battery Design'!A1" display="Battery Design" xr:uid="{894E1225-E049-4DFC-B8D0-CF0782B9C685}"/>
    <hyperlink ref="N6" location="BMS!A1" display="BMS" xr:uid="{6E35B7B8-4992-4EED-A48F-6D31BC5C133A}"/>
    <hyperlink ref="O2" location="'Manufacturing Costs'!A1" display="Manufacturing Costs" xr:uid="{3008573C-31E1-48A6-BDF3-3286E26011EA}"/>
    <hyperlink ref="O3" location="'Cost Input'!A1" display="Cost Input" xr:uid="{87906A7C-CE68-4248-8293-501A7E3BA9A9}"/>
    <hyperlink ref="O4" location="'Cost Breakdown'!A1" display="Cost Breakdown" xr:uid="{7708144E-7B7A-441F-A621-D074EA9C3E64}"/>
    <hyperlink ref="O5" location="Recycle!A1" display="Recycle" xr:uid="{C7DFDECE-AFD9-4544-9626-7335C4501689}"/>
    <hyperlink ref="O6" location="Thermal!A1" display="Thermal" xr:uid="{9EC77389-863D-4676-85BF-8C7DDAAFEB5E}"/>
  </hyperlinks>
  <pageMargins left="0.45" right="0.45" top="0.75" bottom="0.75" header="0.3" footer="0.3"/>
  <pageSetup scale="89" orientation="portrait" r:id="rId1"/>
  <headerFooter>
    <oddFooter>&amp;C&amp;P&amp;R&amp;F, &amp;D</oddFooter>
  </headerFooter>
  <rowBreaks count="4" manualBreakCount="4">
    <brk id="176" max="16383" man="1"/>
    <brk id="614" min="1" max="12" man="1"/>
    <brk id="674" min="1" max="12" man="1"/>
    <brk id="724" min="1" max="12" man="1"/>
  </rowBreaks>
  <colBreaks count="1" manualBreakCount="1">
    <brk id="13" max="1048575" man="1"/>
  </col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9"/>
  <sheetViews>
    <sheetView workbookViewId="0">
      <pane ySplit="6" topLeftCell="A7" activePane="bottomLeft" state="frozen"/>
      <selection pane="bottomLeft" activeCell="P21" sqref="P21"/>
    </sheetView>
  </sheetViews>
  <sheetFormatPr baseColWidth="10" defaultColWidth="8.5" defaultRowHeight="13" x14ac:dyDescent="0.15"/>
  <cols>
    <col min="2" max="2" width="23.5" customWidth="1"/>
    <col min="3" max="3" width="10.5" customWidth="1"/>
    <col min="4" max="4" width="11" customWidth="1"/>
    <col min="5" max="5" width="10.5" customWidth="1"/>
    <col min="6" max="6" width="9.5" customWidth="1"/>
    <col min="7" max="7" width="16" bestFit="1" customWidth="1"/>
    <col min="8" max="13" width="12.5" bestFit="1" customWidth="1"/>
    <col min="14" max="14" width="17.5" bestFit="1" customWidth="1"/>
    <col min="15" max="15" width="18.5" bestFit="1" customWidth="1"/>
    <col min="16" max="16" width="24.5" bestFit="1" customWidth="1"/>
    <col min="17" max="21" width="9.5" bestFit="1" customWidth="1"/>
  </cols>
  <sheetData>
    <row r="1" spans="1:15" ht="19" thickBot="1" x14ac:dyDescent="0.25">
      <c r="B1" s="1344" t="s">
        <v>1713</v>
      </c>
      <c r="C1" s="1344"/>
      <c r="D1" s="1344"/>
      <c r="E1" s="1344"/>
      <c r="F1" s="1344"/>
      <c r="G1" s="1344"/>
      <c r="H1" s="1344"/>
      <c r="I1" s="1344"/>
      <c r="J1" s="1344"/>
      <c r="K1" s="1344"/>
      <c r="L1" s="1344"/>
      <c r="M1" s="1344"/>
      <c r="N1" s="1260" t="s">
        <v>9</v>
      </c>
      <c r="O1" s="1261"/>
    </row>
    <row r="2" spans="1:15" ht="17" thickBot="1" x14ac:dyDescent="0.25">
      <c r="B2" s="1270" t="str">
        <f>Dashboard!B2</f>
        <v>EV with NMC532-G (Power) Electrodes</v>
      </c>
      <c r="C2" s="1271"/>
      <c r="D2" s="1271"/>
      <c r="E2" s="1271"/>
      <c r="F2" s="1271"/>
      <c r="G2" s="1271"/>
      <c r="H2" s="1271"/>
      <c r="I2" s="1271"/>
      <c r="J2" s="1271"/>
      <c r="K2" s="1271"/>
      <c r="L2" s="1271"/>
      <c r="M2" s="1272"/>
      <c r="N2" s="987" t="s">
        <v>8</v>
      </c>
      <c r="O2" s="988" t="s">
        <v>10</v>
      </c>
    </row>
    <row r="3" spans="1:15" ht="16" x14ac:dyDescent="0.2">
      <c r="A3" s="1214"/>
      <c r="B3" s="1291" t="s">
        <v>132</v>
      </c>
      <c r="C3" s="1318"/>
      <c r="D3" s="1318"/>
      <c r="E3" s="1318"/>
      <c r="F3" s="1318"/>
      <c r="G3" s="1318"/>
      <c r="H3" s="1318"/>
      <c r="I3" s="1318"/>
      <c r="J3" s="1318"/>
      <c r="K3" s="1318"/>
      <c r="L3" s="1318"/>
      <c r="M3" s="1319"/>
      <c r="N3" s="989" t="s">
        <v>15</v>
      </c>
      <c r="O3" s="988" t="s">
        <v>16</v>
      </c>
    </row>
    <row r="4" spans="1:15" x14ac:dyDescent="0.15">
      <c r="A4" s="1214"/>
      <c r="B4" s="1293" t="s">
        <v>298</v>
      </c>
      <c r="C4" s="1320"/>
      <c r="D4" s="1320"/>
      <c r="E4" s="1321"/>
      <c r="F4" s="180"/>
      <c r="G4" s="1294" t="s">
        <v>12</v>
      </c>
      <c r="H4" s="1325"/>
      <c r="I4" s="1325"/>
      <c r="J4" s="1325"/>
      <c r="K4" s="1325"/>
      <c r="L4" s="1325"/>
      <c r="M4" s="1326"/>
      <c r="N4" s="986" t="s">
        <v>17</v>
      </c>
      <c r="O4" s="988" t="s">
        <v>18</v>
      </c>
    </row>
    <row r="5" spans="1:15" ht="14" thickBot="1" x14ac:dyDescent="0.2">
      <c r="A5" s="1214"/>
      <c r="B5" s="1296" t="s">
        <v>13</v>
      </c>
      <c r="C5" s="1329"/>
      <c r="D5" s="1329"/>
      <c r="E5" s="1330"/>
      <c r="F5" s="185"/>
      <c r="G5" s="1297" t="s">
        <v>14</v>
      </c>
      <c r="H5" s="1327"/>
      <c r="I5" s="1327"/>
      <c r="J5" s="1327"/>
      <c r="K5" s="1327"/>
      <c r="L5" s="1327"/>
      <c r="M5" s="1328"/>
      <c r="N5" s="986" t="s">
        <v>20</v>
      </c>
      <c r="O5" s="992" t="s">
        <v>21</v>
      </c>
    </row>
    <row r="6" spans="1:15" ht="17" thickBot="1" x14ac:dyDescent="0.25">
      <c r="G6" s="123" t="s">
        <v>56</v>
      </c>
      <c r="H6" s="123" t="s">
        <v>57</v>
      </c>
      <c r="I6" s="123" t="s">
        <v>58</v>
      </c>
      <c r="J6" s="123" t="s">
        <v>59</v>
      </c>
      <c r="K6" s="123" t="s">
        <v>60</v>
      </c>
      <c r="L6" s="123" t="s">
        <v>61</v>
      </c>
      <c r="M6" s="123" t="s">
        <v>62</v>
      </c>
      <c r="N6" s="990" t="s">
        <v>25</v>
      </c>
      <c r="O6" s="991" t="s">
        <v>26</v>
      </c>
    </row>
    <row r="7" spans="1:15" ht="16" x14ac:dyDescent="0.2">
      <c r="G7" s="123"/>
      <c r="H7" s="123"/>
      <c r="I7" s="123"/>
      <c r="J7" s="123"/>
      <c r="K7" s="123"/>
      <c r="L7" s="123"/>
      <c r="M7" s="123"/>
    </row>
    <row r="8" spans="1:15" ht="16" x14ac:dyDescent="0.2">
      <c r="B8" s="5" t="s">
        <v>1714</v>
      </c>
      <c r="G8" s="45"/>
      <c r="H8" s="45"/>
      <c r="I8" s="45"/>
      <c r="J8" s="45"/>
      <c r="K8" s="45"/>
    </row>
    <row r="9" spans="1:15" x14ac:dyDescent="0.15">
      <c r="B9" s="8" t="s">
        <v>1715</v>
      </c>
      <c r="G9" s="42">
        <f ca="1">'Battery Design'!G362</f>
        <v>100.00000000001774</v>
      </c>
      <c r="H9" s="42">
        <f ca="1">'Battery Design'!H362</f>
        <v>100.00000000001774</v>
      </c>
      <c r="I9" s="42">
        <f ca="1">'Battery Design'!I362</f>
        <v>100.00000000001774</v>
      </c>
      <c r="J9" s="42">
        <f ca="1">'Battery Design'!J362</f>
        <v>100.00000000001774</v>
      </c>
      <c r="K9" s="42">
        <f ca="1">'Battery Design'!K362</f>
        <v>100.00000000001774</v>
      </c>
      <c r="L9" s="42">
        <f ca="1">'Battery Design'!L362</f>
        <v>100.00000000001774</v>
      </c>
      <c r="M9" s="42">
        <f ca="1">'Battery Design'!M362</f>
        <v>100.00000000001774</v>
      </c>
    </row>
    <row r="10" spans="1:15" x14ac:dyDescent="0.15">
      <c r="B10" s="8" t="s">
        <v>1716</v>
      </c>
      <c r="E10" s="45"/>
      <c r="G10" s="43">
        <f>'Battery Design'!G31</f>
        <v>400</v>
      </c>
      <c r="H10" s="43">
        <f>'Battery Design'!H31</f>
        <v>400</v>
      </c>
      <c r="I10" s="43">
        <f>'Battery Design'!I31</f>
        <v>400</v>
      </c>
      <c r="J10" s="43">
        <f>'Battery Design'!J31</f>
        <v>400</v>
      </c>
      <c r="K10" s="43">
        <f>'Battery Design'!K31</f>
        <v>400</v>
      </c>
      <c r="L10" s="43">
        <f>'Battery Design'!L31</f>
        <v>400</v>
      </c>
      <c r="M10" s="43">
        <f>'Battery Design'!M31</f>
        <v>400</v>
      </c>
    </row>
    <row r="11" spans="1:15" x14ac:dyDescent="0.15">
      <c r="B11" s="8" t="s">
        <v>941</v>
      </c>
      <c r="E11" s="45"/>
      <c r="G11" s="43">
        <f>'Battery Design'!G29</f>
        <v>20</v>
      </c>
      <c r="H11" s="43">
        <f>'Battery Design'!H29</f>
        <v>20</v>
      </c>
      <c r="I11" s="43">
        <f>'Battery Design'!I29</f>
        <v>20</v>
      </c>
      <c r="J11" s="43">
        <f>'Battery Design'!J29</f>
        <v>20</v>
      </c>
      <c r="K11" s="43">
        <f>'Battery Design'!K29</f>
        <v>20</v>
      </c>
      <c r="L11" s="43">
        <f>'Battery Design'!L29</f>
        <v>20</v>
      </c>
      <c r="M11" s="43">
        <f>'Battery Design'!M29</f>
        <v>20</v>
      </c>
    </row>
    <row r="12" spans="1:15" x14ac:dyDescent="0.15">
      <c r="B12" s="8"/>
      <c r="E12" s="45"/>
      <c r="G12" s="43"/>
      <c r="H12" s="43"/>
      <c r="I12" s="43"/>
      <c r="J12" s="43"/>
      <c r="K12" s="43"/>
      <c r="L12" s="43"/>
      <c r="M12" s="43"/>
    </row>
    <row r="13" spans="1:15" ht="16" x14ac:dyDescent="0.2">
      <c r="B13" s="5" t="s">
        <v>1717</v>
      </c>
    </row>
    <row r="14" spans="1:15" ht="16" x14ac:dyDescent="0.2">
      <c r="B14" s="26" t="s">
        <v>1718</v>
      </c>
      <c r="C14" s="26"/>
      <c r="D14" s="26"/>
      <c r="E14" s="26"/>
      <c r="F14" s="26"/>
      <c r="G14" s="123"/>
      <c r="H14" s="123"/>
      <c r="I14" s="123"/>
      <c r="J14" s="123"/>
      <c r="K14" s="123"/>
      <c r="L14" s="123"/>
      <c r="M14" s="123"/>
    </row>
    <row r="15" spans="1:15" ht="16" x14ac:dyDescent="0.2">
      <c r="B15" s="26" t="s">
        <v>1719</v>
      </c>
      <c r="C15" s="473" t="s">
        <v>1720</v>
      </c>
      <c r="D15" s="473" t="s">
        <v>1721</v>
      </c>
      <c r="E15" s="473" t="s">
        <v>2317</v>
      </c>
      <c r="F15" s="473" t="s">
        <v>293</v>
      </c>
      <c r="G15" s="123"/>
      <c r="H15" s="123"/>
      <c r="I15" s="123"/>
      <c r="J15" s="123"/>
      <c r="K15" s="123"/>
      <c r="L15" s="123"/>
      <c r="M15" s="123"/>
    </row>
    <row r="16" spans="1:15" ht="16" x14ac:dyDescent="0.2">
      <c r="B16" t="s">
        <v>1723</v>
      </c>
      <c r="C16">
        <f>MATCH(C15, Lists!$M$117:$M$135, 0)</f>
        <v>2</v>
      </c>
      <c r="D16">
        <f>MATCH(D15, Lists!$M$117:$M$135, 0)</f>
        <v>4</v>
      </c>
      <c r="E16">
        <f>MATCH(E15, Lists!$M$117:$M$135, 0)</f>
        <v>3</v>
      </c>
      <c r="F16">
        <f>MATCH(F15, Lists!$M$117:$M$135, 0)</f>
        <v>11</v>
      </c>
      <c r="G16" s="123"/>
      <c r="H16" s="123"/>
      <c r="I16" s="123"/>
      <c r="J16" s="123"/>
      <c r="K16" s="123"/>
      <c r="L16" s="123"/>
      <c r="M16" s="123"/>
    </row>
    <row r="17" spans="2:13" ht="16" x14ac:dyDescent="0.2">
      <c r="B17" s="8" t="s">
        <v>1724</v>
      </c>
      <c r="D17" t="str">
        <f>Chem!C7</f>
        <v>NMC532</v>
      </c>
      <c r="G17" s="123">
        <f>MATCH($D$17, Lists!$O$63:$AG$63, 0)</f>
        <v>2</v>
      </c>
      <c r="H17" s="123">
        <f>MATCH($D$17, Lists!$O$63:$AG$63, 0)</f>
        <v>2</v>
      </c>
      <c r="I17" s="123">
        <f>MATCH($D$17, Lists!$O$63:$AG$63, 0)</f>
        <v>2</v>
      </c>
      <c r="J17" s="123">
        <f>MATCH($D$17, Lists!$O$63:$AG$63, 0)</f>
        <v>2</v>
      </c>
      <c r="K17" s="123">
        <f>MATCH($D$17, Lists!$O$63:$AG$63, 0)</f>
        <v>2</v>
      </c>
      <c r="L17" s="123">
        <f>MATCH($D$17, Lists!$O$63:$AG$63, 0)</f>
        <v>2</v>
      </c>
      <c r="M17" s="123">
        <f>MATCH($D$17, Lists!$O$63:$AG$63, 0)</f>
        <v>2</v>
      </c>
    </row>
    <row r="18" spans="2:13" ht="16" x14ac:dyDescent="0.2">
      <c r="B18" s="8" t="s">
        <v>1725</v>
      </c>
      <c r="D18" t="str">
        <f>Chem!C36</f>
        <v>G</v>
      </c>
      <c r="G18" s="123">
        <f>MATCH($D$18, Lists!$O$63:$AG$63, 0)</f>
        <v>9</v>
      </c>
      <c r="H18" s="123">
        <f>MATCH($D$18, Lists!$O$63:$AG$63, 0)</f>
        <v>9</v>
      </c>
      <c r="I18" s="123">
        <f>MATCH($D$18, Lists!$O$63:$AG$63, 0)</f>
        <v>9</v>
      </c>
      <c r="J18" s="123">
        <f>MATCH($D$18, Lists!$O$63:$AG$63, 0)</f>
        <v>9</v>
      </c>
      <c r="K18" s="123">
        <f>MATCH($D$18, Lists!$O$63:$AG$63, 0)</f>
        <v>9</v>
      </c>
      <c r="L18" s="123">
        <f>MATCH($D$18, Lists!$O$63:$AG$63, 0)</f>
        <v>9</v>
      </c>
      <c r="M18" s="123">
        <f>MATCH($D$18, Lists!$O$63:$AG$63, 0)</f>
        <v>9</v>
      </c>
    </row>
    <row r="19" spans="2:13" ht="14" thickBot="1" x14ac:dyDescent="0.2"/>
    <row r="20" spans="2:13" ht="21" thickBot="1" x14ac:dyDescent="0.25">
      <c r="B20" s="1262" t="s">
        <v>1726</v>
      </c>
      <c r="C20" s="1263"/>
      <c r="D20" s="1263"/>
      <c r="E20" s="1263"/>
      <c r="F20" s="1263"/>
      <c r="G20" s="1263"/>
      <c r="H20" s="1263"/>
      <c r="I20" s="1263"/>
      <c r="J20" s="1263"/>
      <c r="K20" s="1263"/>
      <c r="L20" s="1263"/>
      <c r="M20" s="1264"/>
    </row>
    <row r="21" spans="2:13" ht="16" x14ac:dyDescent="0.2">
      <c r="B21" s="8"/>
      <c r="G21" s="123"/>
      <c r="H21" s="123"/>
      <c r="I21" s="123"/>
      <c r="J21" s="123"/>
      <c r="K21" s="123"/>
      <c r="L21" s="123"/>
      <c r="M21" s="123"/>
    </row>
    <row r="22" spans="2:13" ht="16" x14ac:dyDescent="0.2">
      <c r="B22" s="5" t="s">
        <v>2427</v>
      </c>
      <c r="G22" s="123"/>
      <c r="H22" s="123"/>
      <c r="I22" s="123"/>
      <c r="J22" s="123"/>
      <c r="K22" s="123"/>
      <c r="L22" s="123"/>
      <c r="M22" s="123"/>
    </row>
    <row r="23" spans="2:13" ht="16" x14ac:dyDescent="0.2">
      <c r="B23" s="507" t="s">
        <v>1727</v>
      </c>
      <c r="G23" s="123"/>
      <c r="H23" s="123"/>
      <c r="I23" s="123"/>
      <c r="J23" s="123"/>
      <c r="K23" s="123"/>
      <c r="L23" s="123"/>
      <c r="M23" s="123"/>
    </row>
    <row r="24" spans="2:13" x14ac:dyDescent="0.15">
      <c r="B24" s="112" t="str">
        <f>'Battery Design'!B44</f>
        <v>Positive active material, g/cell</v>
      </c>
      <c r="C24" s="8"/>
      <c r="D24" s="8"/>
      <c r="E24" s="8"/>
      <c r="F24" s="8"/>
      <c r="G24" s="361">
        <f ca="1">'Battery Design'!G44</f>
        <v>363.11979287119124</v>
      </c>
      <c r="H24" s="361">
        <f ca="1">'Battery Design'!H44</f>
        <v>363.11979287119124</v>
      </c>
      <c r="I24" s="361">
        <f ca="1">'Battery Design'!I44</f>
        <v>363.11979287119124</v>
      </c>
      <c r="J24" s="361">
        <f ca="1">'Battery Design'!J44</f>
        <v>363.11979287119124</v>
      </c>
      <c r="K24" s="361">
        <f ca="1">'Battery Design'!K44</f>
        <v>363.11979287119124</v>
      </c>
      <c r="L24" s="361">
        <f ca="1">'Battery Design'!L44</f>
        <v>363.11979287119124</v>
      </c>
      <c r="M24" s="361">
        <f ca="1">'Battery Design'!M44</f>
        <v>363.11979287119124</v>
      </c>
    </row>
    <row r="25" spans="2:13" x14ac:dyDescent="0.15">
      <c r="B25" s="112" t="str">
        <f>'Battery Design'!B51</f>
        <v>Negative active material per cell, g/cell</v>
      </c>
      <c r="C25" s="8"/>
      <c r="D25" s="8"/>
      <c r="E25" s="8"/>
      <c r="F25" s="8"/>
      <c r="G25" s="361">
        <f ca="1">'Battery Design'!G51</f>
        <v>214.72584095776261</v>
      </c>
      <c r="H25" s="361">
        <f ca="1">'Battery Design'!H51</f>
        <v>214.72584095776261</v>
      </c>
      <c r="I25" s="361">
        <f ca="1">'Battery Design'!I51</f>
        <v>214.72584095776261</v>
      </c>
      <c r="J25" s="361">
        <f ca="1">'Battery Design'!J51</f>
        <v>214.72584095776261</v>
      </c>
      <c r="K25" s="361">
        <f ca="1">'Battery Design'!K51</f>
        <v>214.72584095776261</v>
      </c>
      <c r="L25" s="361">
        <f ca="1">'Battery Design'!L51</f>
        <v>214.72584095776261</v>
      </c>
      <c r="M25" s="361">
        <f ca="1">'Battery Design'!M51</f>
        <v>214.72584095776261</v>
      </c>
    </row>
    <row r="26" spans="2:13" x14ac:dyDescent="0.15">
      <c r="B26" s="8" t="s">
        <v>1728</v>
      </c>
      <c r="C26" s="8"/>
      <c r="D26" s="8"/>
      <c r="E26" s="8"/>
      <c r="F26" s="8"/>
      <c r="G26" s="361">
        <f ca="1">'Battery Design'!G66*Chem!$C$68*1000</f>
        <v>144.04383874119483</v>
      </c>
      <c r="H26" s="361">
        <f ca="1">'Battery Design'!H66*Chem!$C$68*1000</f>
        <v>144.04383874119483</v>
      </c>
      <c r="I26" s="361">
        <f ca="1">'Battery Design'!I66*Chem!$C$68*1000</f>
        <v>144.04383874119483</v>
      </c>
      <c r="J26" s="361">
        <f ca="1">'Battery Design'!J66*Chem!$C$68*1000</f>
        <v>144.04383874119483</v>
      </c>
      <c r="K26" s="361">
        <f ca="1">'Battery Design'!K66*Chem!$C$68*1000</f>
        <v>144.04383874119483</v>
      </c>
      <c r="L26" s="361">
        <f ca="1">'Battery Design'!L66*Chem!$C$68*1000</f>
        <v>144.04383874119483</v>
      </c>
      <c r="M26" s="361">
        <f ca="1">'Battery Design'!M66*Chem!$C$68*1000</f>
        <v>144.04383874119483</v>
      </c>
    </row>
    <row r="27" spans="2:13" x14ac:dyDescent="0.15">
      <c r="B27" s="8" t="s">
        <v>1729</v>
      </c>
      <c r="C27" s="8"/>
      <c r="D27" s="8"/>
      <c r="E27" s="8"/>
      <c r="F27" s="8"/>
      <c r="G27" s="361">
        <f ca="1">'Battery Design'!G66</f>
        <v>0.12003653228432903</v>
      </c>
      <c r="H27" s="361">
        <f ca="1">'Battery Design'!H66</f>
        <v>0.12003653228432903</v>
      </c>
      <c r="I27" s="361">
        <f ca="1">'Battery Design'!I66</f>
        <v>0.12003653228432903</v>
      </c>
      <c r="J27" s="361">
        <f ca="1">'Battery Design'!J66</f>
        <v>0.12003653228432903</v>
      </c>
      <c r="K27" s="361">
        <f ca="1">'Battery Design'!K66</f>
        <v>0.12003653228432903</v>
      </c>
      <c r="L27" s="361">
        <f ca="1">'Battery Design'!L66</f>
        <v>0.12003653228432903</v>
      </c>
      <c r="M27" s="361">
        <f ca="1">'Battery Design'!M66</f>
        <v>0.12003653228432903</v>
      </c>
    </row>
    <row r="28" spans="2:13" x14ac:dyDescent="0.15">
      <c r="B28" s="8" t="s">
        <v>1730</v>
      </c>
      <c r="C28" s="8"/>
      <c r="D28" s="8"/>
      <c r="E28" s="8"/>
      <c r="F28" s="8"/>
      <c r="G28" s="361">
        <f ca="1">'Battery Design'!G58</f>
        <v>0</v>
      </c>
      <c r="H28" s="361">
        <f ca="1">'Battery Design'!H58</f>
        <v>0</v>
      </c>
      <c r="I28" s="361">
        <f ca="1">'Battery Design'!I58</f>
        <v>0</v>
      </c>
      <c r="J28" s="361">
        <f ca="1">'Battery Design'!J58</f>
        <v>0</v>
      </c>
      <c r="K28" s="361">
        <f ca="1">'Battery Design'!K58</f>
        <v>0</v>
      </c>
      <c r="L28" s="361">
        <f ca="1">'Battery Design'!L58</f>
        <v>0</v>
      </c>
      <c r="M28" s="361">
        <f ca="1">'Battery Design'!M58</f>
        <v>0</v>
      </c>
    </row>
    <row r="29" spans="2:13" x14ac:dyDescent="0.15">
      <c r="B29" s="8" t="s">
        <v>1731</v>
      </c>
      <c r="C29" s="8"/>
      <c r="D29" s="8"/>
      <c r="E29" s="8"/>
      <c r="F29" s="8"/>
      <c r="G29" s="361">
        <f ca="1">'Battery Design'!G59</f>
        <v>0</v>
      </c>
      <c r="H29" s="361">
        <f ca="1">'Battery Design'!H59</f>
        <v>0</v>
      </c>
      <c r="I29" s="361">
        <f ca="1">'Battery Design'!I59</f>
        <v>0</v>
      </c>
      <c r="J29" s="361">
        <f ca="1">'Battery Design'!J59</f>
        <v>0</v>
      </c>
      <c r="K29" s="361">
        <f ca="1">'Battery Design'!K59</f>
        <v>0</v>
      </c>
      <c r="L29" s="361">
        <f ca="1">'Battery Design'!L59</f>
        <v>0</v>
      </c>
      <c r="M29" s="361">
        <f ca="1">'Battery Design'!M59</f>
        <v>0</v>
      </c>
    </row>
    <row r="30" spans="2:13" x14ac:dyDescent="0.15">
      <c r="B30" s="8" t="s">
        <v>1732</v>
      </c>
      <c r="C30" s="8"/>
      <c r="D30" s="8"/>
      <c r="E30" s="8"/>
      <c r="F30" s="8"/>
      <c r="G30" s="361">
        <f ca="1">'Battery Design'!G71</f>
        <v>144.04383874119483</v>
      </c>
      <c r="H30" s="361">
        <f ca="1">'Battery Design'!H71</f>
        <v>144.04383874119483</v>
      </c>
      <c r="I30" s="361">
        <f ca="1">'Battery Design'!I71</f>
        <v>144.04383874119483</v>
      </c>
      <c r="J30" s="361">
        <f ca="1">'Battery Design'!J71</f>
        <v>144.04383874119483</v>
      </c>
      <c r="K30" s="361">
        <f ca="1">'Battery Design'!K71</f>
        <v>144.04383874119483</v>
      </c>
      <c r="L30" s="361">
        <f ca="1">'Battery Design'!L71</f>
        <v>144.04383874119483</v>
      </c>
      <c r="M30" s="361">
        <f ca="1">'Battery Design'!M71</f>
        <v>144.04383874119483</v>
      </c>
    </row>
    <row r="31" spans="2:13" x14ac:dyDescent="0.15">
      <c r="B31" s="8"/>
      <c r="C31" s="8"/>
      <c r="D31" s="8"/>
      <c r="E31" s="8"/>
      <c r="F31" s="8"/>
      <c r="G31" s="361"/>
      <c r="H31" s="361"/>
      <c r="I31" s="361"/>
      <c r="J31" s="361"/>
      <c r="K31" s="361"/>
      <c r="L31" s="361"/>
      <c r="M31" s="361"/>
    </row>
    <row r="32" spans="2:13" ht="14" x14ac:dyDescent="0.15">
      <c r="B32" s="507" t="s">
        <v>1733</v>
      </c>
      <c r="C32" s="8"/>
      <c r="D32" s="8"/>
      <c r="E32" s="8"/>
      <c r="F32" s="8"/>
      <c r="G32" s="361"/>
      <c r="H32" s="361"/>
      <c r="I32" s="361"/>
      <c r="J32" s="361"/>
      <c r="K32" s="361"/>
      <c r="L32" s="361"/>
      <c r="M32" s="361"/>
    </row>
    <row r="33" spans="2:19" x14ac:dyDescent="0.15">
      <c r="B33" s="8" t="s">
        <v>2425</v>
      </c>
      <c r="C33" s="8"/>
      <c r="D33" s="8"/>
      <c r="E33" s="8"/>
      <c r="F33" s="8"/>
      <c r="G33" s="361" cm="1">
        <f t="array" aca="1" ref="G33" ca="1">INDEX(Lists!$O$117:$AG$117, Recycle!G17)*6.94/INDEX(Lists!$O$68:$AG$68,  Recycle!G17)*G24</f>
        <v>26.097484155691799</v>
      </c>
      <c r="H33" s="361" cm="1">
        <f t="array" aca="1" ref="H33" ca="1">INDEX(Lists!$O$117:$AG$117, Recycle!H17)*6.94/INDEX(Lists!$O$68:$AG$68,  Recycle!H17)*H24</f>
        <v>26.097484155691799</v>
      </c>
      <c r="I33" s="361" cm="1">
        <f t="array" aca="1" ref="I33" ca="1">INDEX(Lists!$O$117:$AG$117, Recycle!I17)*6.94/INDEX(Lists!$O$68:$AG$68,  Recycle!I17)*I24</f>
        <v>26.097484155691799</v>
      </c>
      <c r="J33" s="361" cm="1">
        <f t="array" aca="1" ref="J33" ca="1">INDEX(Lists!$O$117:$AG$117, Recycle!J17)*6.94/INDEX(Lists!$O$68:$AG$68,  Recycle!J17)*J24</f>
        <v>26.097484155691799</v>
      </c>
      <c r="K33" s="361" cm="1">
        <f t="array" aca="1" ref="K33" ca="1">INDEX(Lists!$O$117:$AG$117, Recycle!K17)*6.94/INDEX(Lists!$O$68:$AG$68,  Recycle!K17)*K24</f>
        <v>26.097484155691799</v>
      </c>
      <c r="L33" s="361" cm="1">
        <f t="array" aca="1" ref="L33" ca="1">INDEX(Lists!$O$117:$AG$117, Recycle!L17)*6.94/INDEX(Lists!$O$68:$AG$68,  Recycle!L17)*L24</f>
        <v>26.097484155691799</v>
      </c>
      <c r="M33" s="361" cm="1">
        <f t="array" aca="1" ref="M33" ca="1">INDEX(Lists!$O$117:$AG$117, Recycle!M17)*6.94/INDEX(Lists!$O$68:$AG$68,  Recycle!M17)*M24</f>
        <v>26.097484155691799</v>
      </c>
    </row>
    <row r="34" spans="2:19" x14ac:dyDescent="0.15">
      <c r="B34" s="8" t="s">
        <v>2426</v>
      </c>
      <c r="C34" s="8"/>
      <c r="D34" s="8"/>
      <c r="E34" s="8"/>
      <c r="F34" s="8"/>
      <c r="G34" s="361" cm="1">
        <f t="array" aca="1" ref="G34" ca="1">INDEX(Lists!$O$117:$AG$117, Recycle!G18)*6.94/INDEX(Lists!$O$68:$AG$68,  Recycle!G18)*G25</f>
        <v>0</v>
      </c>
      <c r="H34" s="361" cm="1">
        <f t="array" aca="1" ref="H34" ca="1">INDEX(Lists!$O$117:$AG$117, Recycle!H18)*6.94/INDEX(Lists!$O$68:$AG$68,  Recycle!H18)*H25</f>
        <v>0</v>
      </c>
      <c r="I34" s="361" cm="1">
        <f t="array" aca="1" ref="I34" ca="1">INDEX(Lists!$O$117:$AG$117, Recycle!I18)*6.94/INDEX(Lists!$O$68:$AG$68,  Recycle!I18)*I25</f>
        <v>0</v>
      </c>
      <c r="J34" s="361" cm="1">
        <f t="array" aca="1" ref="J34" ca="1">INDEX(Lists!$O$117:$AG$117, Recycle!J18)*6.94/INDEX(Lists!$O$68:$AG$68,  Recycle!J18)*J25</f>
        <v>0</v>
      </c>
      <c r="K34" s="361" cm="1">
        <f t="array" aca="1" ref="K34" ca="1">INDEX(Lists!$O$117:$AG$117, Recycle!K18)*6.94/INDEX(Lists!$O$68:$AG$68,  Recycle!K18)*K25</f>
        <v>0</v>
      </c>
      <c r="L34" s="361" cm="1">
        <f t="array" aca="1" ref="L34" ca="1">INDEX(Lists!$O$117:$AG$117, Recycle!L18)*6.94/INDEX(Lists!$O$68:$AG$68,  Recycle!L18)*L25</f>
        <v>0</v>
      </c>
      <c r="M34" s="361" cm="1">
        <f t="array" aca="1" ref="M34" ca="1">INDEX(Lists!$O$117:$AG$117, Recycle!M18)*6.94/INDEX(Lists!$O$68:$AG$68,  Recycle!M18)*M25</f>
        <v>0</v>
      </c>
      <c r="O34" s="361"/>
    </row>
    <row r="35" spans="2:19" x14ac:dyDescent="0.15">
      <c r="B35" s="8" t="s">
        <v>1734</v>
      </c>
      <c r="C35" s="8"/>
      <c r="D35" s="8"/>
      <c r="E35" s="8"/>
      <c r="F35" s="8"/>
      <c r="G35" s="361">
        <f ca="1">G27*Chem!$C$69</f>
        <v>0.99966424086389216</v>
      </c>
      <c r="H35" s="361">
        <f ca="1">H27*Chem!$C$69</f>
        <v>0.99966424086389216</v>
      </c>
      <c r="I35" s="361">
        <f ca="1">I27*Chem!$C$69</f>
        <v>0.99966424086389216</v>
      </c>
      <c r="J35" s="361">
        <f ca="1">J27*Chem!$C$69</f>
        <v>0.99966424086389216</v>
      </c>
      <c r="K35" s="361">
        <f ca="1">K27*Chem!$C$69</f>
        <v>0.99966424086389216</v>
      </c>
      <c r="L35" s="361">
        <f ca="1">L27*Chem!$C$69</f>
        <v>0.99966424086389216</v>
      </c>
      <c r="M35" s="361">
        <f ca="1">M27*Chem!$C$69</f>
        <v>0.99966424086389216</v>
      </c>
    </row>
    <row r="36" spans="2:19" x14ac:dyDescent="0.15">
      <c r="B36" s="8" t="s">
        <v>1735</v>
      </c>
      <c r="C36" s="8"/>
      <c r="D36" s="8"/>
      <c r="E36" s="8"/>
      <c r="F36" s="8"/>
      <c r="G36" s="361">
        <f ca="1">G28*Chem!$C$77</f>
        <v>0</v>
      </c>
      <c r="H36" s="361">
        <f ca="1">H28*Chem!$C$77</f>
        <v>0</v>
      </c>
      <c r="I36" s="361">
        <f ca="1">I28*Chem!$C$77</f>
        <v>0</v>
      </c>
      <c r="J36" s="361">
        <f ca="1">J28*Chem!$C$77</f>
        <v>0</v>
      </c>
      <c r="K36" s="361">
        <f ca="1">K28*Chem!$C$77</f>
        <v>0</v>
      </c>
      <c r="L36" s="361">
        <f ca="1">L28*Chem!$C$77</f>
        <v>0</v>
      </c>
      <c r="M36" s="361">
        <f ca="1">M28*Chem!$C$77</f>
        <v>0</v>
      </c>
      <c r="N36" s="8"/>
    </row>
    <row r="37" spans="2:19" x14ac:dyDescent="0.15">
      <c r="B37" s="8" t="s">
        <v>1736</v>
      </c>
      <c r="C37" s="8"/>
      <c r="D37" s="8"/>
      <c r="E37" s="8"/>
      <c r="F37" s="8"/>
      <c r="G37" s="361">
        <f ca="1">G29*Chem!$C$83</f>
        <v>0</v>
      </c>
      <c r="H37" s="361">
        <f ca="1">H29*Chem!$C$83</f>
        <v>0</v>
      </c>
      <c r="I37" s="361">
        <f ca="1">I29*Chem!$C$83</f>
        <v>0</v>
      </c>
      <c r="J37" s="361">
        <f ca="1">J29*Chem!$C$83</f>
        <v>0</v>
      </c>
      <c r="K37" s="361">
        <f ca="1">K29*Chem!$C$83</f>
        <v>0</v>
      </c>
      <c r="L37" s="361">
        <f ca="1">L29*Chem!$C$83</f>
        <v>0</v>
      </c>
      <c r="M37" s="361">
        <f ca="1">M29*Chem!$C$83</f>
        <v>0</v>
      </c>
    </row>
    <row r="38" spans="2:19" x14ac:dyDescent="0.15">
      <c r="B38" s="8" t="s">
        <v>1737</v>
      </c>
      <c r="C38" s="8"/>
      <c r="D38" s="8"/>
      <c r="E38" s="8"/>
      <c r="F38" s="8"/>
      <c r="G38" s="361">
        <f ca="1">Chem!$C$88*Recycle!G30</f>
        <v>0</v>
      </c>
      <c r="H38" s="361">
        <f ca="1">Chem!$C$88*Recycle!H30</f>
        <v>0</v>
      </c>
      <c r="I38" s="361">
        <f ca="1">Chem!$C$88*Recycle!I30</f>
        <v>0</v>
      </c>
      <c r="J38" s="361">
        <f ca="1">Chem!$C$88*Recycle!J30</f>
        <v>0</v>
      </c>
      <c r="K38" s="361">
        <f ca="1">Chem!$C$88*Recycle!K30</f>
        <v>0</v>
      </c>
      <c r="L38" s="361">
        <f ca="1">Chem!$C$88*Recycle!L30</f>
        <v>0</v>
      </c>
      <c r="M38" s="361">
        <f ca="1">Chem!$C$88*Recycle!M30</f>
        <v>0</v>
      </c>
    </row>
    <row r="39" spans="2:19" x14ac:dyDescent="0.15">
      <c r="B39" s="8" t="s">
        <v>1738</v>
      </c>
      <c r="C39" s="8"/>
      <c r="D39" s="8"/>
      <c r="E39" s="8"/>
      <c r="F39" s="8"/>
      <c r="G39" s="361">
        <f ca="1">SUM(G33:G38)</f>
        <v>27.097148396555692</v>
      </c>
      <c r="H39" s="361">
        <f t="shared" ref="H39:M39" ca="1" si="0">SUM(H33:H38)</f>
        <v>27.097148396555692</v>
      </c>
      <c r="I39" s="361">
        <f t="shared" ca="1" si="0"/>
        <v>27.097148396555692</v>
      </c>
      <c r="J39" s="361">
        <f t="shared" ca="1" si="0"/>
        <v>27.097148396555692</v>
      </c>
      <c r="K39" s="361">
        <f t="shared" ca="1" si="0"/>
        <v>27.097148396555692</v>
      </c>
      <c r="L39" s="361">
        <f t="shared" ca="1" si="0"/>
        <v>27.097148396555692</v>
      </c>
      <c r="M39" s="361">
        <f t="shared" ca="1" si="0"/>
        <v>27.097148396555692</v>
      </c>
    </row>
    <row r="40" spans="2:19" x14ac:dyDescent="0.15">
      <c r="B40" s="8" t="s">
        <v>1739</v>
      </c>
      <c r="C40" s="8"/>
      <c r="D40" s="8"/>
      <c r="E40" s="8"/>
      <c r="F40" s="8"/>
      <c r="G40" s="361">
        <f ca="1">G39*G10/1000</f>
        <v>10.838859358622276</v>
      </c>
      <c r="H40" s="361">
        <f t="shared" ref="H40:M40" ca="1" si="1">H39*H10/1000</f>
        <v>10.838859358622276</v>
      </c>
      <c r="I40" s="361">
        <f t="shared" ca="1" si="1"/>
        <v>10.838859358622276</v>
      </c>
      <c r="J40" s="361">
        <f t="shared" ca="1" si="1"/>
        <v>10.838859358622276</v>
      </c>
      <c r="K40" s="361">
        <f t="shared" ca="1" si="1"/>
        <v>10.838859358622276</v>
      </c>
      <c r="L40" s="361">
        <f t="shared" ca="1" si="1"/>
        <v>10.838859358622276</v>
      </c>
      <c r="M40" s="361">
        <f t="shared" ca="1" si="1"/>
        <v>10.838859358622276</v>
      </c>
    </row>
    <row r="41" spans="2:19" x14ac:dyDescent="0.15">
      <c r="B41" s="8" t="s">
        <v>1740</v>
      </c>
      <c r="C41" s="8"/>
      <c r="D41" s="8"/>
      <c r="E41" s="8"/>
      <c r="F41" s="8"/>
      <c r="G41" s="361">
        <f ca="1">G40/G9</f>
        <v>0.10838859358620354</v>
      </c>
      <c r="H41" s="361">
        <f t="shared" ref="H41:M41" ca="1" si="2">H40/H9</f>
        <v>0.10838859358620354</v>
      </c>
      <c r="I41" s="361">
        <f t="shared" ca="1" si="2"/>
        <v>0.10838859358620354</v>
      </c>
      <c r="J41" s="361">
        <f t="shared" ca="1" si="2"/>
        <v>0.10838859358620354</v>
      </c>
      <c r="K41" s="361">
        <f t="shared" ca="1" si="2"/>
        <v>0.10838859358620354</v>
      </c>
      <c r="L41" s="361">
        <f t="shared" ca="1" si="2"/>
        <v>0.10838859358620354</v>
      </c>
      <c r="M41" s="361">
        <f t="shared" ca="1" si="2"/>
        <v>0.10838859358620354</v>
      </c>
      <c r="O41" s="20"/>
    </row>
    <row r="42" spans="2:19" ht="16" x14ac:dyDescent="0.2">
      <c r="B42" s="8"/>
      <c r="C42" s="8"/>
      <c r="D42" s="8"/>
      <c r="E42" s="8"/>
      <c r="F42" s="8"/>
      <c r="G42" s="123"/>
      <c r="H42" s="123"/>
      <c r="I42" s="123"/>
      <c r="J42" s="123"/>
      <c r="K42" s="123"/>
      <c r="L42" s="123"/>
      <c r="M42" s="123"/>
    </row>
    <row r="43" spans="2:19" ht="16" x14ac:dyDescent="0.2">
      <c r="B43" s="507" t="str">
        <f>D43 &amp;" Balance"</f>
        <v>Ni Balance</v>
      </c>
      <c r="C43" s="8"/>
      <c r="D43" s="552" t="str">
        <f>C15</f>
        <v>Ni</v>
      </c>
      <c r="E43" s="8"/>
      <c r="F43" s="8"/>
      <c r="G43" s="123"/>
      <c r="H43" s="123"/>
      <c r="I43" s="123"/>
      <c r="J43" s="123"/>
      <c r="K43" s="123"/>
      <c r="L43" s="123"/>
      <c r="M43" s="123"/>
    </row>
    <row r="44" spans="2:19" x14ac:dyDescent="0.15">
      <c r="B44" s="8" t="str">
        <f>D43 &amp; " mass in positive active material, g/cell"</f>
        <v>Ni mass in positive active material, g/cell</v>
      </c>
      <c r="C44" s="8"/>
      <c r="D44" s="8"/>
      <c r="E44" s="8"/>
      <c r="F44" s="8"/>
      <c r="G44" s="361" cm="1">
        <f t="array" aca="1" ref="G44" ca="1">OFFSET(Lists!$M$116,$C$16, G$17+1)*G$24/INDEX(Lists!$O$68:$AG$68, G$17)*INDEX(Lists!$N$116:$N$135,$C$16+1 )</f>
        <v>110.38784544529291</v>
      </c>
      <c r="H44" s="361" cm="1">
        <f t="array" aca="1" ref="H44" ca="1">OFFSET(Lists!$M$116,$C$16, H$17+1)*H$24/INDEX(Lists!$O$68:$AG$68, H$17)*INDEX(Lists!$N$116:$N$135,$C$16+1 )</f>
        <v>110.38784544529291</v>
      </c>
      <c r="I44" s="361" cm="1">
        <f t="array" aca="1" ref="I44" ca="1">OFFSET(Lists!$M$116,$C$16, I$17+1)*I$24/INDEX(Lists!$O$68:$AG$68, I$17)*INDEX(Lists!$N$116:$N$135,$C$16+1 )</f>
        <v>110.38784544529291</v>
      </c>
      <c r="J44" s="361" cm="1">
        <f t="array" aca="1" ref="J44" ca="1">OFFSET(Lists!$M$116,$C$16, J$17+1)*J$24/INDEX(Lists!$O$68:$AG$68, J$17)*INDEX(Lists!$N$116:$N$135,$C$16+1 )</f>
        <v>110.38784544529291</v>
      </c>
      <c r="K44" s="361" cm="1">
        <f t="array" aca="1" ref="K44" ca="1">OFFSET(Lists!$M$116,$C$16, K$17+1)*K$24/INDEX(Lists!$O$68:$AG$68, K$17)*INDEX(Lists!$N$116:$N$135,$C$16+1 )</f>
        <v>110.38784544529291</v>
      </c>
      <c r="L44" s="361" cm="1">
        <f t="array" aca="1" ref="L44" ca="1">OFFSET(Lists!$M$116,$C$16, L$17+1)*L$24/INDEX(Lists!$O$68:$AG$68, L$17)*INDEX(Lists!$N$116:$N$135,$C$16+1 )</f>
        <v>110.38784544529291</v>
      </c>
      <c r="M44" s="361" cm="1">
        <f t="array" aca="1" ref="M44" ca="1">OFFSET(Lists!$M$116,$C$16, M$17+1)*M$24/INDEX(Lists!$O$68:$AG$68, M$17)*INDEX(Lists!$N$116:$N$135,$C$16+1 )</f>
        <v>110.38784544529291</v>
      </c>
    </row>
    <row r="45" spans="2:19" x14ac:dyDescent="0.15">
      <c r="B45" s="8" t="str">
        <f>D43 &amp; " mass in negative active material, g/cell"</f>
        <v>Ni mass in negative active material, g/cell</v>
      </c>
      <c r="C45" s="8"/>
      <c r="D45" s="8"/>
      <c r="E45" s="8"/>
      <c r="F45" s="8"/>
      <c r="G45" s="361" cm="1">
        <f t="array" aca="1" ref="G45" ca="1">OFFSET(Lists!$M$116,$C$16, G$18+1)*G$25/INDEX(Lists!$O$68:$AG$68, G$18)*INDEX(Lists!$N$116:$N$135,$C$16+1 )</f>
        <v>0</v>
      </c>
      <c r="H45" s="361" cm="1">
        <f t="array" aca="1" ref="H45" ca="1">OFFSET(Lists!$M$116,$C$16, H$18+1)*H$25/INDEX(Lists!$O$68:$AG$68, H$18)*INDEX(Lists!$N$116:$N$135,$C$16+1 )</f>
        <v>0</v>
      </c>
      <c r="I45" s="361" cm="1">
        <f t="array" aca="1" ref="I45" ca="1">OFFSET(Lists!$M$116,$C$16, I$18+1)*I$25/INDEX(Lists!$O$68:$AG$68, I$18)*INDEX(Lists!$N$116:$N$135,$C$16+1 )</f>
        <v>0</v>
      </c>
      <c r="J45" s="361" cm="1">
        <f t="array" aca="1" ref="J45" ca="1">OFFSET(Lists!$M$116,$C$16, J$18+1)*J$25/INDEX(Lists!$O$68:$AG$68, J$18)*INDEX(Lists!$N$116:$N$135,$C$16+1 )</f>
        <v>0</v>
      </c>
      <c r="K45" s="361" cm="1">
        <f t="array" aca="1" ref="K45" ca="1">OFFSET(Lists!$M$116,$C$16, K$18+1)*K$25/INDEX(Lists!$O$68:$AG$68, K$18)*INDEX(Lists!$N$116:$N$135,$C$16+1 )</f>
        <v>0</v>
      </c>
      <c r="L45" s="361" cm="1">
        <f t="array" aca="1" ref="L45" ca="1">OFFSET(Lists!$M$116,$C$16, L$18+1)*L$25/INDEX(Lists!$O$68:$AG$68, L$18)*INDEX(Lists!$N$116:$N$135,$C$16+1 )</f>
        <v>0</v>
      </c>
      <c r="M45" s="361" cm="1">
        <f t="array" aca="1" ref="M45" ca="1">OFFSET(Lists!$M$116,$C$16, M$18+1)*M$25/INDEX(Lists!$O$68:$AG$68, M$18)*INDEX(Lists!$N$116:$N$135,$C$16+1 )</f>
        <v>0</v>
      </c>
    </row>
    <row r="46" spans="2:19" x14ac:dyDescent="0.15">
      <c r="B46" s="8" t="str">
        <f xml:space="preserve"> D43 &amp; " mass, g/cell"</f>
        <v>Ni mass, g/cell</v>
      </c>
      <c r="C46" s="8"/>
      <c r="D46" s="8"/>
      <c r="E46" s="8"/>
      <c r="F46" s="8"/>
      <c r="G46" s="361">
        <f ca="1">SUM(G44:G45)</f>
        <v>110.38784544529291</v>
      </c>
      <c r="H46" s="361">
        <f t="shared" ref="H46:M46" ca="1" si="3">SUM(H44:H45)</f>
        <v>110.38784544529291</v>
      </c>
      <c r="I46" s="361">
        <f t="shared" ca="1" si="3"/>
        <v>110.38784544529291</v>
      </c>
      <c r="J46" s="361">
        <f t="shared" ca="1" si="3"/>
        <v>110.38784544529291</v>
      </c>
      <c r="K46" s="361">
        <f t="shared" ca="1" si="3"/>
        <v>110.38784544529291</v>
      </c>
      <c r="L46" s="361">
        <f t="shared" ca="1" si="3"/>
        <v>110.38784544529291</v>
      </c>
      <c r="M46" s="361">
        <f t="shared" ca="1" si="3"/>
        <v>110.38784544529291</v>
      </c>
    </row>
    <row r="47" spans="2:19" x14ac:dyDescent="0.15">
      <c r="B47" s="8" t="str">
        <f xml:space="preserve"> D43 &amp; " mass, kg/pack"</f>
        <v>Ni mass, kg/pack</v>
      </c>
      <c r="C47" s="8"/>
      <c r="D47" s="8"/>
      <c r="E47" s="8"/>
      <c r="F47" s="8"/>
      <c r="G47" s="361">
        <f ca="1">G46*G$10/1000</f>
        <v>44.155138178117163</v>
      </c>
      <c r="H47" s="361">
        <f t="shared" ref="H47:M47" ca="1" si="4">H46*H$10/1000</f>
        <v>44.155138178117163</v>
      </c>
      <c r="I47" s="361">
        <f t="shared" ca="1" si="4"/>
        <v>44.155138178117163</v>
      </c>
      <c r="J47" s="361">
        <f t="shared" ca="1" si="4"/>
        <v>44.155138178117163</v>
      </c>
      <c r="K47" s="361">
        <f t="shared" ca="1" si="4"/>
        <v>44.155138178117163</v>
      </c>
      <c r="L47" s="361">
        <f t="shared" ca="1" si="4"/>
        <v>44.155138178117163</v>
      </c>
      <c r="M47" s="361">
        <f t="shared" ca="1" si="4"/>
        <v>44.155138178117163</v>
      </c>
    </row>
    <row r="48" spans="2:19" x14ac:dyDescent="0.15">
      <c r="B48" s="8" t="str">
        <f xml:space="preserve"> D43 &amp; " mass, kg/kWh"</f>
        <v>Ni mass, kg/kWh</v>
      </c>
      <c r="C48" s="8"/>
      <c r="D48" s="8"/>
      <c r="E48" s="8"/>
      <c r="F48" s="8"/>
      <c r="G48" s="361">
        <f ca="1">G47/G$9</f>
        <v>0.44155138178109332</v>
      </c>
      <c r="H48" s="361">
        <f t="shared" ref="H48:M48" ca="1" si="5">H47/H$9</f>
        <v>0.44155138178109332</v>
      </c>
      <c r="I48" s="361">
        <f t="shared" ca="1" si="5"/>
        <v>0.44155138178109332</v>
      </c>
      <c r="J48" s="361">
        <f t="shared" ca="1" si="5"/>
        <v>0.44155138178109332</v>
      </c>
      <c r="K48" s="361">
        <f t="shared" ca="1" si="5"/>
        <v>0.44155138178109332</v>
      </c>
      <c r="L48" s="361">
        <f t="shared" ca="1" si="5"/>
        <v>0.44155138178109332</v>
      </c>
      <c r="M48" s="361">
        <f t="shared" ca="1" si="5"/>
        <v>0.44155138178109332</v>
      </c>
      <c r="S48" s="20"/>
    </row>
    <row r="49" spans="2:13" ht="16" x14ac:dyDescent="0.2">
      <c r="B49" s="8"/>
      <c r="C49" s="8"/>
      <c r="D49" s="8"/>
      <c r="E49" s="8"/>
      <c r="F49" s="8"/>
      <c r="G49" s="123"/>
      <c r="H49" s="123"/>
      <c r="I49" s="123"/>
      <c r="J49" s="123"/>
      <c r="K49" s="123"/>
      <c r="L49" s="123"/>
      <c r="M49" s="123"/>
    </row>
    <row r="50" spans="2:13" ht="16" x14ac:dyDescent="0.2">
      <c r="B50" s="507" t="str">
        <f>D50 &amp;" Balance"</f>
        <v>Co Balance</v>
      </c>
      <c r="C50" s="8"/>
      <c r="D50" s="552" t="str">
        <f>D15</f>
        <v>Co</v>
      </c>
      <c r="E50" s="8"/>
      <c r="F50" s="8"/>
      <c r="G50" s="123"/>
      <c r="H50" s="123"/>
      <c r="I50" s="123"/>
      <c r="J50" s="123"/>
      <c r="K50" s="123"/>
      <c r="L50" s="123"/>
      <c r="M50" s="123"/>
    </row>
    <row r="51" spans="2:13" x14ac:dyDescent="0.15">
      <c r="B51" s="8" t="str">
        <f>D50 &amp; " mass in positive electrode, g/cell"</f>
        <v>Co mass in positive electrode, g/cell</v>
      </c>
      <c r="C51" s="8"/>
      <c r="D51" s="8"/>
      <c r="E51" s="8"/>
      <c r="F51" s="8"/>
      <c r="G51" s="361" cm="1">
        <f t="array" aca="1" ref="G51" ca="1">OFFSET(Lists!$M$116,$D$16, G$17+1)*G$24/INDEX(Lists!$O$68:$AG$68, G$17)*INDEX(Lists!$N$116:$N$135,$D$16+1 )</f>
        <v>44.320597731842</v>
      </c>
      <c r="H51" s="361" cm="1">
        <f t="array" aca="1" ref="H51" ca="1">OFFSET(Lists!$M$116,$D$16, H$17+1)*H$24/INDEX(Lists!$O$68:$AG$68, H$17)*INDEX(Lists!$N$116:$N$135,$D$16+1 )</f>
        <v>44.320597731842</v>
      </c>
      <c r="I51" s="361" cm="1">
        <f t="array" aca="1" ref="I51" ca="1">OFFSET(Lists!$M$116,$D$16, I$17+1)*I$24/INDEX(Lists!$O$68:$AG$68, I$17)*INDEX(Lists!$N$116:$N$135,$D$16+1 )</f>
        <v>44.320597731842</v>
      </c>
      <c r="J51" s="361" cm="1">
        <f t="array" aca="1" ref="J51" ca="1">OFFSET(Lists!$M$116,$D$16, J$17+1)*J$24/INDEX(Lists!$O$68:$AG$68, J$17)*INDEX(Lists!$N$116:$N$135,$D$16+1 )</f>
        <v>44.320597731842</v>
      </c>
      <c r="K51" s="361" cm="1">
        <f t="array" aca="1" ref="K51" ca="1">OFFSET(Lists!$M$116,$D$16, K$17+1)*K$24/INDEX(Lists!$O$68:$AG$68, K$17)*INDEX(Lists!$N$116:$N$135,$D$16+1 )</f>
        <v>44.320597731842</v>
      </c>
      <c r="L51" s="361" cm="1">
        <f t="array" aca="1" ref="L51" ca="1">OFFSET(Lists!$M$116,$D$16, L$17+1)*L$24/INDEX(Lists!$O$68:$AG$68, L$17)*INDEX(Lists!$N$116:$N$135,$D$16+1 )</f>
        <v>44.320597731842</v>
      </c>
      <c r="M51" s="361" cm="1">
        <f t="array" aca="1" ref="M51" ca="1">OFFSET(Lists!$M$116,$D$16, M$17+1)*M$24/INDEX(Lists!$O$68:$AG$68, M$17)*INDEX(Lists!$N$116:$N$135,$D$16+1 )</f>
        <v>44.320597731842</v>
      </c>
    </row>
    <row r="52" spans="2:13" x14ac:dyDescent="0.15">
      <c r="B52" s="8" t="str">
        <f>D50 &amp; " mass in negative electrode, g/cell"</f>
        <v>Co mass in negative electrode, g/cell</v>
      </c>
      <c r="C52" s="8"/>
      <c r="D52" s="8"/>
      <c r="E52" s="8"/>
      <c r="F52" s="8"/>
      <c r="G52" s="361" cm="1">
        <f t="array" aca="1" ref="G52" ca="1">OFFSET(Lists!$M$116,$D$16, G$18+1)*G$25/INDEX(Lists!$O$68:$AG$68, G$18)*INDEX(Lists!$N$116:$N$135,$D$16+1 )</f>
        <v>0</v>
      </c>
      <c r="H52" s="361" cm="1">
        <f t="array" aca="1" ref="H52" ca="1">OFFSET(Lists!$M$116,$D$16, H$18+1)*H$25/INDEX(Lists!$O$68:$AG$68, H$18)*INDEX(Lists!$N$116:$N$135,$D$16+1 )</f>
        <v>0</v>
      </c>
      <c r="I52" s="361" cm="1">
        <f t="array" aca="1" ref="I52" ca="1">OFFSET(Lists!$M$116,$D$16, I$18+1)*I$25/INDEX(Lists!$O$68:$AG$68, I$18)*INDEX(Lists!$N$116:$N$135,$D$16+1 )</f>
        <v>0</v>
      </c>
      <c r="J52" s="361" cm="1">
        <f t="array" aca="1" ref="J52" ca="1">OFFSET(Lists!$M$116,$D$16, J$18+1)*J$25/INDEX(Lists!$O$68:$AG$68, J$18)*INDEX(Lists!$N$116:$N$135,$D$16+1 )</f>
        <v>0</v>
      </c>
      <c r="K52" s="361" cm="1">
        <f t="array" aca="1" ref="K52" ca="1">OFFSET(Lists!$M$116,$D$16, K$18+1)*K$25/INDEX(Lists!$O$68:$AG$68, K$18)*INDEX(Lists!$N$116:$N$135,$D$16+1 )</f>
        <v>0</v>
      </c>
      <c r="L52" s="361" cm="1">
        <f t="array" aca="1" ref="L52" ca="1">OFFSET(Lists!$M$116,$D$16, L$18+1)*L$25/INDEX(Lists!$O$68:$AG$68, L$18)*INDEX(Lists!$N$116:$N$135,$D$16+1 )</f>
        <v>0</v>
      </c>
      <c r="M52" s="361" cm="1">
        <f t="array" aca="1" ref="M52" ca="1">OFFSET(Lists!$M$116,$D$16, M$18+1)*M$25/INDEX(Lists!$O$68:$AG$68, M$18)*INDEX(Lists!$N$116:$N$135,$D$16+1 )</f>
        <v>0</v>
      </c>
    </row>
    <row r="53" spans="2:13" x14ac:dyDescent="0.15">
      <c r="B53" s="8" t="str">
        <f xml:space="preserve"> D50 &amp; " mass, g/cell"</f>
        <v>Co mass, g/cell</v>
      </c>
      <c r="C53" s="8"/>
      <c r="D53" s="8"/>
      <c r="E53" s="8"/>
      <c r="F53" s="8"/>
      <c r="G53" s="361">
        <f ca="1">SUM(G51:G52)</f>
        <v>44.320597731842</v>
      </c>
      <c r="H53" s="361">
        <f t="shared" ref="H53:M53" ca="1" si="6">SUM(H51:H52)</f>
        <v>44.320597731842</v>
      </c>
      <c r="I53" s="361">
        <f t="shared" ca="1" si="6"/>
        <v>44.320597731842</v>
      </c>
      <c r="J53" s="361">
        <f t="shared" ca="1" si="6"/>
        <v>44.320597731842</v>
      </c>
      <c r="K53" s="361">
        <f t="shared" ca="1" si="6"/>
        <v>44.320597731842</v>
      </c>
      <c r="L53" s="361">
        <f t="shared" ca="1" si="6"/>
        <v>44.320597731842</v>
      </c>
      <c r="M53" s="361">
        <f t="shared" ca="1" si="6"/>
        <v>44.320597731842</v>
      </c>
    </row>
    <row r="54" spans="2:13" x14ac:dyDescent="0.15">
      <c r="B54" s="8" t="str">
        <f xml:space="preserve"> D50 &amp; " mass, kg/pack"</f>
        <v>Co mass, kg/pack</v>
      </c>
      <c r="C54" s="8"/>
      <c r="D54" s="8"/>
      <c r="E54" s="8"/>
      <c r="F54" s="8"/>
      <c r="G54" s="361">
        <f ca="1">G53*G$10/1000</f>
        <v>17.7282390927368</v>
      </c>
      <c r="H54" s="361">
        <f t="shared" ref="H54:M54" ca="1" si="7">H53*H$10/1000</f>
        <v>17.7282390927368</v>
      </c>
      <c r="I54" s="361">
        <f t="shared" ca="1" si="7"/>
        <v>17.7282390927368</v>
      </c>
      <c r="J54" s="361">
        <f t="shared" ca="1" si="7"/>
        <v>17.7282390927368</v>
      </c>
      <c r="K54" s="361">
        <f t="shared" ca="1" si="7"/>
        <v>17.7282390927368</v>
      </c>
      <c r="L54" s="361">
        <f t="shared" ca="1" si="7"/>
        <v>17.7282390927368</v>
      </c>
      <c r="M54" s="361">
        <f t="shared" ca="1" si="7"/>
        <v>17.7282390927368</v>
      </c>
    </row>
    <row r="55" spans="2:13" x14ac:dyDescent="0.15">
      <c r="B55" s="8" t="str">
        <f xml:space="preserve"> D50 &amp; " mass, kg/kWh"</f>
        <v>Co mass, kg/kWh</v>
      </c>
      <c r="C55" s="8"/>
      <c r="D55" s="8"/>
      <c r="E55" s="8"/>
      <c r="F55" s="8"/>
      <c r="G55" s="361">
        <f ca="1">G54/G$9</f>
        <v>0.17728239092733655</v>
      </c>
      <c r="H55" s="361">
        <f t="shared" ref="H55:M55" ca="1" si="8">H54/H$9</f>
        <v>0.17728239092733655</v>
      </c>
      <c r="I55" s="361">
        <f t="shared" ca="1" si="8"/>
        <v>0.17728239092733655</v>
      </c>
      <c r="J55" s="361">
        <f t="shared" ca="1" si="8"/>
        <v>0.17728239092733655</v>
      </c>
      <c r="K55" s="361">
        <f t="shared" ca="1" si="8"/>
        <v>0.17728239092733655</v>
      </c>
      <c r="L55" s="361">
        <f t="shared" ca="1" si="8"/>
        <v>0.17728239092733655</v>
      </c>
      <c r="M55" s="361">
        <f t="shared" ca="1" si="8"/>
        <v>0.17728239092733655</v>
      </c>
    </row>
    <row r="56" spans="2:13" x14ac:dyDescent="0.15">
      <c r="B56" s="8"/>
      <c r="C56" s="8"/>
      <c r="D56" s="8"/>
      <c r="E56" s="8"/>
      <c r="F56" s="8"/>
      <c r="G56" s="361"/>
      <c r="H56" s="361"/>
      <c r="I56" s="361"/>
      <c r="J56" s="361"/>
      <c r="K56" s="361"/>
      <c r="L56" s="361"/>
      <c r="M56" s="361"/>
    </row>
    <row r="57" spans="2:13" ht="16" x14ac:dyDescent="0.2">
      <c r="B57" s="507" t="str">
        <f>D57 &amp;" Balance"</f>
        <v>Mn Balance</v>
      </c>
      <c r="C57" s="8"/>
      <c r="D57" s="552" t="str">
        <f>E15</f>
        <v>Mn</v>
      </c>
      <c r="E57" s="8"/>
      <c r="F57" s="8"/>
      <c r="G57" s="123"/>
      <c r="H57" s="123"/>
      <c r="I57" s="123"/>
      <c r="J57" s="123"/>
      <c r="K57" s="123"/>
      <c r="L57" s="123"/>
      <c r="M57" s="123"/>
    </row>
    <row r="58" spans="2:13" x14ac:dyDescent="0.15">
      <c r="B58" s="8" t="str">
        <f>D57 &amp; " mass in positive active material, g/cell"</f>
        <v>Mn mass in positive active material, g/cell</v>
      </c>
      <c r="C58" s="8"/>
      <c r="D58" s="8"/>
      <c r="E58" s="8"/>
      <c r="F58" s="8"/>
      <c r="G58" s="361" cm="1">
        <f t="array" aca="1" ref="G58" ca="1">OFFSET(Lists!$M$116,$E$16, G$17+1)*G$24/INDEX(Lists!$O$68:$AG$68, G$17)*INDEX(Lists!$N$116:$N$135,$E$16+1 )</f>
        <v>61.979644647566602</v>
      </c>
      <c r="H58" s="361" cm="1">
        <f t="array" aca="1" ref="H58" ca="1">OFFSET(Lists!$M$116,$E$16, H$17+1)*H$24/INDEX(Lists!$O$68:$AG$68, H$17)*INDEX(Lists!$N$116:$N$135,$E$16+1 )</f>
        <v>61.979644647566602</v>
      </c>
      <c r="I58" s="361" cm="1">
        <f t="array" aca="1" ref="I58" ca="1">OFFSET(Lists!$M$116,$E$16, I$17+1)*I$24/INDEX(Lists!$O$68:$AG$68, I$17)*INDEX(Lists!$N$116:$N$135,$E$16+1 )</f>
        <v>61.979644647566602</v>
      </c>
      <c r="J58" s="361" cm="1">
        <f t="array" aca="1" ref="J58" ca="1">OFFSET(Lists!$M$116,$E$16, J$17+1)*J$24/INDEX(Lists!$O$68:$AG$68, J$17)*INDEX(Lists!$N$116:$N$135,$E$16+1 )</f>
        <v>61.979644647566602</v>
      </c>
      <c r="K58" s="361" cm="1">
        <f t="array" aca="1" ref="K58" ca="1">OFFSET(Lists!$M$116,$E$16, K$17+1)*K$24/INDEX(Lists!$O$68:$AG$68, K$17)*INDEX(Lists!$N$116:$N$135,$E$16+1 )</f>
        <v>61.979644647566602</v>
      </c>
      <c r="L58" s="361" cm="1">
        <f t="array" aca="1" ref="L58" ca="1">OFFSET(Lists!$M$116,$E$16, L$17+1)*L$24/INDEX(Lists!$O$68:$AG$68, L$17)*INDEX(Lists!$N$116:$N$135,$E$16+1 )</f>
        <v>61.979644647566602</v>
      </c>
      <c r="M58" s="361" cm="1">
        <f t="array" aca="1" ref="M58" ca="1">OFFSET(Lists!$M$116,$E$16, M$17+1)*M$24/INDEX(Lists!$O$68:$AG$68, M$17)*INDEX(Lists!$N$116:$N$135,$E$16+1 )</f>
        <v>61.979644647566602</v>
      </c>
    </row>
    <row r="59" spans="2:13" x14ac:dyDescent="0.15">
      <c r="B59" s="8" t="str">
        <f>D57 &amp; " mass in negative active material, g/cell"</f>
        <v>Mn mass in negative active material, g/cell</v>
      </c>
      <c r="C59" s="8"/>
      <c r="D59" s="8"/>
      <c r="E59" s="8"/>
      <c r="F59" s="8"/>
      <c r="G59" s="361" cm="1">
        <f t="array" aca="1" ref="G59" ca="1">OFFSET(Lists!$M$116,$E$16, G$18+1)*G$25/INDEX(Lists!$O$68:$AG$68, G$18)*INDEX(Lists!$N$116:$N$135,$E$16+1 )</f>
        <v>0</v>
      </c>
      <c r="H59" s="361" cm="1">
        <f t="array" aca="1" ref="H59" ca="1">OFFSET(Lists!$M$116,$E$16, H$18+1)*H$25/INDEX(Lists!$O$68:$AG$68, H$18)*INDEX(Lists!$N$116:$N$135,$E$16+1 )</f>
        <v>0</v>
      </c>
      <c r="I59" s="361" cm="1">
        <f t="array" aca="1" ref="I59" ca="1">OFFSET(Lists!$M$116,$E$16, I$18+1)*I$25/INDEX(Lists!$O$68:$AG$68, I$18)*INDEX(Lists!$N$116:$N$135,$E$16+1 )</f>
        <v>0</v>
      </c>
      <c r="J59" s="361" cm="1">
        <f t="array" aca="1" ref="J59" ca="1">OFFSET(Lists!$M$116,$E$16, J$18+1)*J$25/INDEX(Lists!$O$68:$AG$68, J$18)*INDEX(Lists!$N$116:$N$135,$E$16+1 )</f>
        <v>0</v>
      </c>
      <c r="K59" s="361" cm="1">
        <f t="array" aca="1" ref="K59" ca="1">OFFSET(Lists!$M$116,$E$16, K$18+1)*K$25/INDEX(Lists!$O$68:$AG$68, K$18)*INDEX(Lists!$N$116:$N$135,$E$16+1 )</f>
        <v>0</v>
      </c>
      <c r="L59" s="361" cm="1">
        <f t="array" aca="1" ref="L59" ca="1">OFFSET(Lists!$M$116,$E$16, L$18+1)*L$25/INDEX(Lists!$O$68:$AG$68, L$18)*INDEX(Lists!$N$116:$N$135,$E$16+1 )</f>
        <v>0</v>
      </c>
      <c r="M59" s="361" cm="1">
        <f t="array" aca="1" ref="M59" ca="1">OFFSET(Lists!$M$116,$E$16, M$18+1)*M$25/INDEX(Lists!$O$68:$AG$68, M$18)*INDEX(Lists!$N$116:$N$135,$E$16+1 )</f>
        <v>0</v>
      </c>
    </row>
    <row r="60" spans="2:13" x14ac:dyDescent="0.15">
      <c r="B60" s="8" t="str">
        <f xml:space="preserve"> D57 &amp; " mass, g/cell"</f>
        <v>Mn mass, g/cell</v>
      </c>
      <c r="C60" s="8"/>
      <c r="D60" s="8"/>
      <c r="E60" s="8"/>
      <c r="F60" s="8"/>
      <c r="G60" s="361">
        <f ca="1">SUM(G58:G59)</f>
        <v>61.979644647566602</v>
      </c>
      <c r="H60" s="361">
        <f t="shared" ref="H60:M60" ca="1" si="9">SUM(H58:H59)</f>
        <v>61.979644647566602</v>
      </c>
      <c r="I60" s="361">
        <f t="shared" ca="1" si="9"/>
        <v>61.979644647566602</v>
      </c>
      <c r="J60" s="361">
        <f t="shared" ca="1" si="9"/>
        <v>61.979644647566602</v>
      </c>
      <c r="K60" s="361">
        <f t="shared" ca="1" si="9"/>
        <v>61.979644647566602</v>
      </c>
      <c r="L60" s="361">
        <f t="shared" ca="1" si="9"/>
        <v>61.979644647566602</v>
      </c>
      <c r="M60" s="361">
        <f t="shared" ca="1" si="9"/>
        <v>61.979644647566602</v>
      </c>
    </row>
    <row r="61" spans="2:13" x14ac:dyDescent="0.15">
      <c r="B61" s="8" t="str">
        <f xml:space="preserve"> D57 &amp; " mass, kg/pack"</f>
        <v>Mn mass, kg/pack</v>
      </c>
      <c r="C61" s="8"/>
      <c r="D61" s="8"/>
      <c r="E61" s="8"/>
      <c r="F61" s="8"/>
      <c r="G61" s="361">
        <f ca="1">G60*G$10/1000</f>
        <v>24.791857859026642</v>
      </c>
      <c r="H61" s="361">
        <f t="shared" ref="H61:M61" ca="1" si="10">H60*H$10/1000</f>
        <v>24.791857859026642</v>
      </c>
      <c r="I61" s="361">
        <f t="shared" ca="1" si="10"/>
        <v>24.791857859026642</v>
      </c>
      <c r="J61" s="361">
        <f t="shared" ca="1" si="10"/>
        <v>24.791857859026642</v>
      </c>
      <c r="K61" s="361">
        <f t="shared" ca="1" si="10"/>
        <v>24.791857859026642</v>
      </c>
      <c r="L61" s="361">
        <f t="shared" ca="1" si="10"/>
        <v>24.791857859026642</v>
      </c>
      <c r="M61" s="361">
        <f t="shared" ca="1" si="10"/>
        <v>24.791857859026642</v>
      </c>
    </row>
    <row r="62" spans="2:13" x14ac:dyDescent="0.15">
      <c r="B62" s="8" t="str">
        <f xml:space="preserve"> D57 &amp; " mass, kg/kWh"</f>
        <v>Mn mass, kg/kWh</v>
      </c>
      <c r="C62" s="8"/>
      <c r="D62" s="8"/>
      <c r="E62" s="8"/>
      <c r="F62" s="8"/>
      <c r="G62" s="361">
        <f ca="1">G61/G$9</f>
        <v>0.24791857859022245</v>
      </c>
      <c r="H62" s="361">
        <f t="shared" ref="H62:M62" ca="1" si="11">H61/H$9</f>
        <v>0.24791857859022245</v>
      </c>
      <c r="I62" s="361">
        <f t="shared" ca="1" si="11"/>
        <v>0.24791857859022245</v>
      </c>
      <c r="J62" s="361">
        <f t="shared" ca="1" si="11"/>
        <v>0.24791857859022245</v>
      </c>
      <c r="K62" s="361">
        <f t="shared" ca="1" si="11"/>
        <v>0.24791857859022245</v>
      </c>
      <c r="L62" s="361">
        <f t="shared" ca="1" si="11"/>
        <v>0.24791857859022245</v>
      </c>
      <c r="M62" s="361">
        <f t="shared" ca="1" si="11"/>
        <v>0.24791857859022245</v>
      </c>
    </row>
    <row r="63" spans="2:13" x14ac:dyDescent="0.15">
      <c r="B63" s="8"/>
      <c r="C63" s="8"/>
      <c r="D63" s="8"/>
      <c r="E63" s="8"/>
      <c r="F63" s="8"/>
      <c r="G63" s="361"/>
      <c r="H63" s="361"/>
      <c r="I63" s="361"/>
      <c r="J63" s="361"/>
      <c r="K63" s="361"/>
      <c r="L63" s="361"/>
      <c r="M63" s="361"/>
    </row>
    <row r="64" spans="2:13" ht="16" x14ac:dyDescent="0.2">
      <c r="B64" s="507" t="str">
        <f>D64 &amp;" Balance"</f>
        <v>C Balance</v>
      </c>
      <c r="C64" s="8"/>
      <c r="D64" s="552" t="str">
        <f>F15</f>
        <v>C</v>
      </c>
      <c r="E64" s="8"/>
      <c r="F64" s="8"/>
      <c r="G64" s="123"/>
      <c r="H64" s="123"/>
      <c r="I64" s="123"/>
      <c r="J64" s="123"/>
      <c r="K64" s="123"/>
      <c r="L64" s="123"/>
      <c r="M64" s="123"/>
    </row>
    <row r="65" spans="1:21" x14ac:dyDescent="0.15">
      <c r="B65" s="8" t="str">
        <f>D64 &amp; " mass in positive active material, g/cell"</f>
        <v>C mass in positive active material, g/cell</v>
      </c>
      <c r="C65" s="8"/>
      <c r="D65" s="8"/>
      <c r="E65" s="8"/>
      <c r="F65" s="8"/>
      <c r="G65" s="361" cm="1">
        <f t="array" aca="1" ref="G65" ca="1">OFFSET(Lists!$M$116,$F$16, G$17+1)*G$24/INDEX(Lists!$O$68:$AG$68, G$17)*INDEX(Lists!$N$116:$N$135,$F$16+1 )</f>
        <v>0</v>
      </c>
      <c r="H65" s="361" cm="1">
        <f t="array" aca="1" ref="H65" ca="1">OFFSET(Lists!$M$116,$F$16, H$17+1)*H$24/INDEX(Lists!$O$68:$AG$68, H$17)*INDEX(Lists!$N$116:$N$135,$F$16+1 )</f>
        <v>0</v>
      </c>
      <c r="I65" s="361" cm="1">
        <f t="array" aca="1" ref="I65" ca="1">OFFSET(Lists!$M$116,$F$16, I$17+1)*I$24/INDEX(Lists!$O$68:$AG$68, I$17)*INDEX(Lists!$N$116:$N$135,$F$16+1 )</f>
        <v>0</v>
      </c>
      <c r="J65" s="361" cm="1">
        <f t="array" aca="1" ref="J65" ca="1">OFFSET(Lists!$M$116,$F$16, J$17+1)*J$24/INDEX(Lists!$O$68:$AG$68, J$17)*INDEX(Lists!$N$116:$N$135,$F$16+1 )</f>
        <v>0</v>
      </c>
      <c r="K65" s="361" cm="1">
        <f t="array" aca="1" ref="K65" ca="1">OFFSET(Lists!$M$116,$F$16, K$17+1)*K$24/INDEX(Lists!$O$68:$AG$68, K$17)*INDEX(Lists!$N$116:$N$135,$F$16+1 )</f>
        <v>0</v>
      </c>
      <c r="L65" s="361" cm="1">
        <f t="array" aca="1" ref="L65" ca="1">OFFSET(Lists!$M$116,$F$16, L$17+1)*L$24/INDEX(Lists!$O$68:$AG$68, L$17)*INDEX(Lists!$N$116:$N$135,$F$16+1 )</f>
        <v>0</v>
      </c>
      <c r="M65" s="361" cm="1">
        <f t="array" aca="1" ref="M65" ca="1">OFFSET(Lists!$M$116,$F$16, M$17+1)*M$24/INDEX(Lists!$O$68:$AG$68, M$17)*INDEX(Lists!$N$116:$N$135,$F$16+1 )</f>
        <v>0</v>
      </c>
    </row>
    <row r="66" spans="1:21" x14ac:dyDescent="0.15">
      <c r="B66" s="8" t="str">
        <f>D64 &amp; " mass in negative active material, g/cell"</f>
        <v>C mass in negative active material, g/cell</v>
      </c>
      <c r="C66" s="8"/>
      <c r="D66" s="8"/>
      <c r="E66" s="8"/>
      <c r="F66" s="8"/>
      <c r="G66" s="361" cm="1">
        <f t="array" aca="1" ref="G66" ca="1">OFFSET(Lists!$M$116,$F$16, G$18+1)*G$25/INDEX(Lists!$O$68:$AG$68, G$18)*INDEX(Lists!$N$116:$N$135,$F$16+1 )</f>
        <v>214.72584095776261</v>
      </c>
      <c r="H66" s="361" cm="1">
        <f t="array" aca="1" ref="H66" ca="1">OFFSET(Lists!$M$116,$F$16, H$18+1)*H$25/INDEX(Lists!$O$68:$AG$68, H$18)*INDEX(Lists!$N$116:$N$135,$F$16+1 )</f>
        <v>214.72584095776261</v>
      </c>
      <c r="I66" s="361" cm="1">
        <f t="array" aca="1" ref="I66" ca="1">OFFSET(Lists!$M$116,$F$16, I$18+1)*I$25/INDEX(Lists!$O$68:$AG$68, I$18)*INDEX(Lists!$N$116:$N$135,$F$16+1 )</f>
        <v>214.72584095776261</v>
      </c>
      <c r="J66" s="361" cm="1">
        <f t="array" aca="1" ref="J66" ca="1">OFFSET(Lists!$M$116,$F$16, J$18+1)*J$25/INDEX(Lists!$O$68:$AG$68, J$18)*INDEX(Lists!$N$116:$N$135,$F$16+1 )</f>
        <v>214.72584095776261</v>
      </c>
      <c r="K66" s="361" cm="1">
        <f t="array" aca="1" ref="K66" ca="1">OFFSET(Lists!$M$116,$F$16, K$18+1)*K$25/INDEX(Lists!$O$68:$AG$68, K$18)*INDEX(Lists!$N$116:$N$135,$F$16+1 )</f>
        <v>214.72584095776261</v>
      </c>
      <c r="L66" s="361" cm="1">
        <f t="array" aca="1" ref="L66" ca="1">OFFSET(Lists!$M$116,$F$16, L$18+1)*L$25/INDEX(Lists!$O$68:$AG$68, L$18)*INDEX(Lists!$N$116:$N$135,$F$16+1 )</f>
        <v>214.72584095776261</v>
      </c>
      <c r="M66" s="361" cm="1">
        <f t="array" aca="1" ref="M66" ca="1">OFFSET(Lists!$M$116,$F$16, M$18+1)*M$25/INDEX(Lists!$O$68:$AG$68, M$18)*INDEX(Lists!$N$116:$N$135,$F$16+1 )</f>
        <v>214.72584095776261</v>
      </c>
    </row>
    <row r="67" spans="1:21" x14ac:dyDescent="0.15">
      <c r="B67" s="8" t="str">
        <f xml:space="preserve"> D64 &amp; " mass, g/cell"</f>
        <v>C mass, g/cell</v>
      </c>
      <c r="C67" s="8"/>
      <c r="D67" s="8"/>
      <c r="E67" s="8"/>
      <c r="F67" s="8"/>
      <c r="G67" s="361">
        <f ca="1">SUM(G65:G66)</f>
        <v>214.72584095776261</v>
      </c>
      <c r="H67" s="361">
        <f t="shared" ref="H67:M67" ca="1" si="12">SUM(H65:H66)</f>
        <v>214.72584095776261</v>
      </c>
      <c r="I67" s="361">
        <f t="shared" ca="1" si="12"/>
        <v>214.72584095776261</v>
      </c>
      <c r="J67" s="361">
        <f t="shared" ca="1" si="12"/>
        <v>214.72584095776261</v>
      </c>
      <c r="K67" s="361">
        <f t="shared" ca="1" si="12"/>
        <v>214.72584095776261</v>
      </c>
      <c r="L67" s="361">
        <f t="shared" ca="1" si="12"/>
        <v>214.72584095776261</v>
      </c>
      <c r="M67" s="361">
        <f t="shared" ca="1" si="12"/>
        <v>214.72584095776261</v>
      </c>
      <c r="O67" s="361"/>
    </row>
    <row r="68" spans="1:21" x14ac:dyDescent="0.15">
      <c r="B68" s="8" t="str">
        <f xml:space="preserve"> D64 &amp; " mass, kg/pack"</f>
        <v>C mass, kg/pack</v>
      </c>
      <c r="C68" s="8"/>
      <c r="D68" s="8"/>
      <c r="E68" s="8"/>
      <c r="F68" s="8"/>
      <c r="G68" s="361">
        <f ca="1">G67*G$10/1000</f>
        <v>85.890336383105051</v>
      </c>
      <c r="H68" s="361">
        <f t="shared" ref="H68:M68" ca="1" si="13">H67*H$10/1000</f>
        <v>85.890336383105051</v>
      </c>
      <c r="I68" s="361">
        <f t="shared" ca="1" si="13"/>
        <v>85.890336383105051</v>
      </c>
      <c r="J68" s="361">
        <f t="shared" ca="1" si="13"/>
        <v>85.890336383105051</v>
      </c>
      <c r="K68" s="361">
        <f t="shared" ca="1" si="13"/>
        <v>85.890336383105051</v>
      </c>
      <c r="L68" s="361">
        <f t="shared" ca="1" si="13"/>
        <v>85.890336383105051</v>
      </c>
      <c r="M68" s="361">
        <f t="shared" ca="1" si="13"/>
        <v>85.890336383105051</v>
      </c>
    </row>
    <row r="69" spans="1:21" x14ac:dyDescent="0.15">
      <c r="B69" s="8" t="str">
        <f xml:space="preserve"> D64 &amp; " mass, kg/kWh"</f>
        <v>C mass, kg/kWh</v>
      </c>
      <c r="C69" s="8"/>
      <c r="D69" s="8"/>
      <c r="E69" s="8"/>
      <c r="F69" s="8"/>
      <c r="G69" s="361">
        <f ca="1">G68/G$9</f>
        <v>0.85890336383089816</v>
      </c>
      <c r="H69" s="361">
        <f t="shared" ref="H69:M69" ca="1" si="14">H68/H$9</f>
        <v>0.85890336383089816</v>
      </c>
      <c r="I69" s="361">
        <f t="shared" ca="1" si="14"/>
        <v>0.85890336383089816</v>
      </c>
      <c r="J69" s="361">
        <f t="shared" ca="1" si="14"/>
        <v>0.85890336383089816</v>
      </c>
      <c r="K69" s="361">
        <f t="shared" ca="1" si="14"/>
        <v>0.85890336383089816</v>
      </c>
      <c r="L69" s="361">
        <f t="shared" ca="1" si="14"/>
        <v>0.85890336383089816</v>
      </c>
      <c r="M69" s="361">
        <f t="shared" ca="1" si="14"/>
        <v>0.85890336383089816</v>
      </c>
      <c r="O69" s="20"/>
    </row>
    <row r="70" spans="1:21" x14ac:dyDescent="0.15">
      <c r="B70" s="8"/>
      <c r="C70" s="8"/>
      <c r="D70" s="8"/>
      <c r="E70" s="8"/>
      <c r="F70" s="8"/>
      <c r="G70" s="8"/>
      <c r="H70" s="8"/>
      <c r="I70" s="8"/>
      <c r="J70" s="8"/>
      <c r="K70" s="8"/>
      <c r="L70" s="8"/>
      <c r="M70" s="8"/>
    </row>
    <row r="71" spans="1:21" ht="16" x14ac:dyDescent="0.2">
      <c r="B71" s="5" t="s">
        <v>1741</v>
      </c>
      <c r="C71" s="8"/>
      <c r="D71" s="8"/>
      <c r="E71" s="46"/>
      <c r="F71" s="8"/>
      <c r="G71" s="407"/>
      <c r="H71" s="407"/>
      <c r="I71" s="407"/>
      <c r="J71" s="407"/>
      <c r="K71" s="407"/>
      <c r="L71" s="407"/>
      <c r="M71" s="407"/>
    </row>
    <row r="72" spans="1:21" ht="14" x14ac:dyDescent="0.15">
      <c r="B72" s="549" t="s">
        <v>785</v>
      </c>
      <c r="C72" s="495"/>
      <c r="D72" s="495"/>
      <c r="E72" s="495"/>
      <c r="F72" s="8"/>
      <c r="G72" s="8"/>
      <c r="H72" s="8"/>
      <c r="I72" s="8"/>
      <c r="J72" s="8"/>
      <c r="K72" s="8"/>
      <c r="L72" s="8"/>
      <c r="M72" s="8"/>
      <c r="O72" s="33"/>
      <c r="P72" s="33"/>
      <c r="Q72" s="33"/>
      <c r="R72" s="33"/>
      <c r="S72" s="33"/>
      <c r="T72" s="33"/>
      <c r="U72" s="33"/>
    </row>
    <row r="73" spans="1:21" x14ac:dyDescent="0.15">
      <c r="B73" s="495" t="s">
        <v>1742</v>
      </c>
      <c r="C73" s="495"/>
      <c r="D73" s="495"/>
      <c r="E73" s="495"/>
      <c r="F73" s="8"/>
      <c r="G73" s="127">
        <f ca="1">(IF(Chem!$C$31=$B$72,'Battery Design'!G63*'Battery Design'!$F63*'Battery Design'!$E63,0)+IF(Chem!$C$59=$B$72,'Battery Design'!G64*'Battery Design'!$F64*'Battery Design'!$E64,0))/1000*G10</f>
        <v>13.930310396084304</v>
      </c>
      <c r="H73" s="127">
        <f ca="1">(IF(Chem!$C$31=$B$72,'Battery Design'!H63*'Battery Design'!$F63*'Battery Design'!$E63,0)+IF(Chem!$C$59=$B$72,'Battery Design'!H64*'Battery Design'!$F64*'Battery Design'!$E64,0))/1000*H10</f>
        <v>13.930310396084304</v>
      </c>
      <c r="I73" s="127">
        <f ca="1">(IF(Chem!$C$31=$B$72,'Battery Design'!I63*'Battery Design'!$F63*'Battery Design'!$E63,0)+IF(Chem!$C$59=$B$72,'Battery Design'!I64*'Battery Design'!$F64*'Battery Design'!$E64,0))/1000*I10</f>
        <v>13.930310396084304</v>
      </c>
      <c r="J73" s="127">
        <f ca="1">(IF(Chem!$C$31=$B$72,'Battery Design'!J63*'Battery Design'!$F63*'Battery Design'!$E63,0)+IF(Chem!$C$59=$B$72,'Battery Design'!J64*'Battery Design'!$F64*'Battery Design'!$E64,0))/1000*J10</f>
        <v>13.930310396084304</v>
      </c>
      <c r="K73" s="127">
        <f ca="1">(IF(Chem!$C$31=$B$72,'Battery Design'!K63*'Battery Design'!$F63*'Battery Design'!$E63,0)+IF(Chem!$C$59=$B$72,'Battery Design'!K64*'Battery Design'!$F64*'Battery Design'!$E64,0))/1000*K10</f>
        <v>13.930310396084304</v>
      </c>
      <c r="L73" s="127">
        <f ca="1">(IF(Chem!$C$31=$B$72,'Battery Design'!L63*'Battery Design'!$F63*'Battery Design'!$E63,0)+IF(Chem!$C$59=$B$72,'Battery Design'!L64*'Battery Design'!$F64*'Battery Design'!$E64,0))/1000*L10</f>
        <v>13.930310396084304</v>
      </c>
      <c r="M73" s="127">
        <f ca="1">(IF(Chem!$C$31=$B$72,'Battery Design'!M63*'Battery Design'!$F63*'Battery Design'!$E63,0)+IF(Chem!$C$59=$B$72,'Battery Design'!M64*'Battery Design'!$F64*'Battery Design'!$E64,0))/1000*M10</f>
        <v>13.930310396084304</v>
      </c>
      <c r="N73" s="562"/>
      <c r="O73" s="78"/>
      <c r="P73" s="33"/>
      <c r="Q73" s="33"/>
      <c r="R73" s="33"/>
      <c r="S73" s="33"/>
      <c r="T73" s="33"/>
      <c r="U73" s="33"/>
    </row>
    <row r="74" spans="1:21" x14ac:dyDescent="0.15">
      <c r="B74" s="495" t="s">
        <v>1743</v>
      </c>
      <c r="C74" s="495"/>
      <c r="D74" s="495"/>
      <c r="E74" s="495"/>
      <c r="F74" s="8"/>
      <c r="G74" s="127">
        <f ca="1">(IF(Chem!$D$31=$B$72,'Battery Design'!G73,0)+IF(Chem!$D$59=$B$72,'Battery Design'!G74,0))/1000*G10</f>
        <v>2.5435086085634873</v>
      </c>
      <c r="H74" s="127">
        <f ca="1">(IF(Chem!$D$31=$B$72,'Battery Design'!H73,0)+IF(Chem!$D$59=$B$72,'Battery Design'!H74,0))/1000*H10</f>
        <v>2.5435086085634873</v>
      </c>
      <c r="I74" s="127">
        <f ca="1">(IF(Chem!$D$31=$B$72,'Battery Design'!I73,0)+IF(Chem!$D$59=$B$72,'Battery Design'!I74,0))/1000*I10</f>
        <v>2.5435086085634873</v>
      </c>
      <c r="J74" s="127">
        <f ca="1">(IF(Chem!$D$31=$B$72,'Battery Design'!J73,0)+IF(Chem!$D$59=$B$72,'Battery Design'!J74,0))/1000*J10</f>
        <v>2.5435086085634873</v>
      </c>
      <c r="K74" s="127">
        <f ca="1">(IF(Chem!$D$31=$B$72,'Battery Design'!K73,0)+IF(Chem!$D$59=$B$72,'Battery Design'!K74,0))/1000*K10</f>
        <v>2.5435086085634873</v>
      </c>
      <c r="L74" s="127">
        <f ca="1">(IF(Chem!$D$31=$B$72,'Battery Design'!L73,0)+IF(Chem!$D$59=$B$72,'Battery Design'!L74,0))/1000*L10</f>
        <v>2.5435086085634873</v>
      </c>
      <c r="M74" s="127">
        <f ca="1">(IF(Chem!$D$31=$B$72,'Battery Design'!M73,0)+IF(Chem!$D$59=$B$72,'Battery Design'!M74,0))/1000*M10</f>
        <v>2.5435086085634873</v>
      </c>
      <c r="N74" s="562"/>
      <c r="O74" s="33"/>
      <c r="P74" s="33"/>
      <c r="Q74" s="33"/>
      <c r="R74" s="33"/>
      <c r="S74" s="33"/>
      <c r="T74" s="33"/>
      <c r="U74" s="33"/>
    </row>
    <row r="75" spans="1:21" x14ac:dyDescent="0.15">
      <c r="B75" s="495" t="s">
        <v>1744</v>
      </c>
      <c r="C75" s="495"/>
      <c r="D75" s="495"/>
      <c r="E75" s="495"/>
      <c r="F75" s="8"/>
      <c r="G75" s="127">
        <f ca="1">'Battery Design'!G342/1000*G11</f>
        <v>12.5299872333718</v>
      </c>
      <c r="H75" s="127">
        <f ca="1">'Battery Design'!H342/1000*H11</f>
        <v>12.5299872333718</v>
      </c>
      <c r="I75" s="127">
        <f ca="1">'Battery Design'!I342/1000*I11</f>
        <v>12.5299872333718</v>
      </c>
      <c r="J75" s="127">
        <f ca="1">'Battery Design'!J342/1000*J11</f>
        <v>12.5299872333718</v>
      </c>
      <c r="K75" s="127">
        <f ca="1">'Battery Design'!K342/1000*K11</f>
        <v>12.5299872333718</v>
      </c>
      <c r="L75" s="127">
        <f ca="1">'Battery Design'!L342/1000*L11</f>
        <v>12.5299872333718</v>
      </c>
      <c r="M75" s="127">
        <f ca="1">'Battery Design'!M342/1000*M11</f>
        <v>12.5299872333718</v>
      </c>
      <c r="O75" s="33"/>
      <c r="P75" s="33"/>
      <c r="Q75" s="33"/>
      <c r="R75" s="33"/>
      <c r="S75" s="33"/>
      <c r="T75" s="33"/>
      <c r="U75" s="33"/>
    </row>
    <row r="76" spans="1:21" x14ac:dyDescent="0.15">
      <c r="B76" s="495" t="s">
        <v>1745</v>
      </c>
      <c r="C76" s="495"/>
      <c r="D76" s="495"/>
      <c r="E76" s="496"/>
      <c r="F76" s="8"/>
      <c r="G76" s="395">
        <f ca="1">IF('Battery Design'!G426=$B$72,'Battery Design'!G435,0)+IF('Battery Design'!G441=$B$72,'Battery Design'!G444,0)</f>
        <v>36.546883897533974</v>
      </c>
      <c r="H76" s="395">
        <f ca="1">IF('Battery Design'!H426=$B$72,'Battery Design'!H435,0)+IF('Battery Design'!H441=$B$72,'Battery Design'!H444,0)</f>
        <v>36.546883897533974</v>
      </c>
      <c r="I76" s="395">
        <f ca="1">IF('Battery Design'!I426=$B$72,'Battery Design'!I435,0)+IF('Battery Design'!I441=$B$72,'Battery Design'!I444,0)</f>
        <v>36.546883897533974</v>
      </c>
      <c r="J76" s="395">
        <f ca="1">IF('Battery Design'!J426=$B$72,'Battery Design'!J435,0)+IF('Battery Design'!J441=$B$72,'Battery Design'!J444,0)</f>
        <v>36.546883897533974</v>
      </c>
      <c r="K76" s="395">
        <f ca="1">IF('Battery Design'!K426=$B$72,'Battery Design'!K435,0)+IF('Battery Design'!K441=$B$72,'Battery Design'!K444,0)</f>
        <v>36.546883897533974</v>
      </c>
      <c r="L76" s="395">
        <f ca="1">IF('Battery Design'!L426=$B$72,'Battery Design'!L435,0)+IF('Battery Design'!L441=$B$72,'Battery Design'!L444,0)</f>
        <v>36.546883897533974</v>
      </c>
      <c r="M76" s="395">
        <f ca="1">IF('Battery Design'!M426=$B$72,'Battery Design'!M435,0)+IF('Battery Design'!M441=$B$72,'Battery Design'!M444,0)</f>
        <v>36.546883897533974</v>
      </c>
      <c r="O76" s="33"/>
      <c r="P76" s="33"/>
      <c r="Q76" s="33"/>
      <c r="R76" s="33"/>
      <c r="S76" s="33"/>
      <c r="T76" s="33"/>
      <c r="U76" s="33"/>
    </row>
    <row r="77" spans="1:21" x14ac:dyDescent="0.15">
      <c r="B77" s="495" t="s">
        <v>1746</v>
      </c>
      <c r="C77" s="495"/>
      <c r="D77" s="495"/>
      <c r="E77" s="496"/>
      <c r="F77" s="8"/>
      <c r="G77" s="395">
        <f t="shared" ref="G77:M77" ca="1" si="15">SUM(G73:G76)</f>
        <v>65.550690135553566</v>
      </c>
      <c r="H77" s="395">
        <f t="shared" ca="1" si="15"/>
        <v>65.550690135553566</v>
      </c>
      <c r="I77" s="395">
        <f t="shared" ca="1" si="15"/>
        <v>65.550690135553566</v>
      </c>
      <c r="J77" s="395">
        <f t="shared" ca="1" si="15"/>
        <v>65.550690135553566</v>
      </c>
      <c r="K77" s="395">
        <f t="shared" ca="1" si="15"/>
        <v>65.550690135553566</v>
      </c>
      <c r="L77" s="395">
        <f t="shared" ca="1" si="15"/>
        <v>65.550690135553566</v>
      </c>
      <c r="M77" s="395">
        <f t="shared" ca="1" si="15"/>
        <v>65.550690135553566</v>
      </c>
      <c r="O77" s="33"/>
      <c r="P77" s="33"/>
      <c r="Q77" s="33"/>
      <c r="R77" s="33"/>
      <c r="S77" s="33"/>
      <c r="T77" s="33"/>
      <c r="U77" s="33"/>
    </row>
    <row r="78" spans="1:21" x14ac:dyDescent="0.15">
      <c r="A78" s="1214" t="s">
        <v>352</v>
      </c>
      <c r="B78" s="495" t="s">
        <v>1747</v>
      </c>
      <c r="C78" s="495"/>
      <c r="D78" s="495"/>
      <c r="E78" s="496"/>
      <c r="F78" s="8"/>
      <c r="G78" s="395">
        <f ca="1">G77/'Battery Design'!G491</f>
        <v>0.65550690135541945</v>
      </c>
      <c r="H78" s="395">
        <f ca="1">H77/'Battery Design'!H491</f>
        <v>0.65550690135541945</v>
      </c>
      <c r="I78" s="395">
        <f ca="1">I77/'Battery Design'!I491</f>
        <v>0.65550690135541945</v>
      </c>
      <c r="J78" s="395">
        <f ca="1">J77/'Battery Design'!J491</f>
        <v>0.65550690135541945</v>
      </c>
      <c r="K78" s="395">
        <f ca="1">K77/'Battery Design'!K491</f>
        <v>0.65550690135541945</v>
      </c>
      <c r="L78" s="395">
        <f ca="1">L77/'Battery Design'!L491</f>
        <v>0.65550690135541945</v>
      </c>
      <c r="M78" s="395">
        <f ca="1">M77/'Battery Design'!M491</f>
        <v>0.65550690135541945</v>
      </c>
      <c r="O78" s="33"/>
      <c r="P78" s="33"/>
      <c r="Q78" s="33"/>
      <c r="R78" s="33"/>
      <c r="S78" s="33"/>
      <c r="T78" s="33"/>
      <c r="U78" s="33"/>
    </row>
    <row r="79" spans="1:21" x14ac:dyDescent="0.15">
      <c r="A79" s="1214"/>
      <c r="B79" s="499"/>
      <c r="C79" s="495"/>
      <c r="D79" s="495"/>
      <c r="E79" s="496"/>
      <c r="F79" s="8"/>
      <c r="G79" s="395"/>
      <c r="H79" s="395"/>
      <c r="I79" s="395"/>
      <c r="J79" s="395"/>
      <c r="K79" s="395"/>
      <c r="L79" s="395"/>
      <c r="M79" s="395"/>
      <c r="O79" s="33"/>
      <c r="P79" s="33"/>
      <c r="Q79" s="33"/>
      <c r="R79" s="33"/>
      <c r="S79" s="33"/>
      <c r="T79" s="33"/>
      <c r="U79" s="33"/>
    </row>
    <row r="80" spans="1:21" ht="14" x14ac:dyDescent="0.15">
      <c r="B80" s="550" t="s">
        <v>812</v>
      </c>
      <c r="C80" s="497"/>
      <c r="D80" s="497"/>
      <c r="E80" s="46"/>
      <c r="F80" s="8"/>
      <c r="G80" s="407"/>
      <c r="H80" s="407"/>
      <c r="I80" s="407"/>
      <c r="J80" s="407"/>
      <c r="K80" s="407"/>
      <c r="L80" s="407"/>
      <c r="M80" s="407"/>
      <c r="O80" s="33"/>
      <c r="P80" s="33"/>
      <c r="Q80" s="33"/>
      <c r="R80" s="33"/>
      <c r="S80" s="33"/>
      <c r="T80" s="33"/>
      <c r="U80" s="33"/>
    </row>
    <row r="81" spans="1:21" x14ac:dyDescent="0.15">
      <c r="B81" s="497" t="s">
        <v>1748</v>
      </c>
      <c r="C81" s="497"/>
      <c r="D81" s="497"/>
      <c r="E81" s="46"/>
      <c r="F81" s="8"/>
      <c r="G81" s="127">
        <f ca="1">(IF(Chem!$C$31=$B$80,'Battery Design'!G63*'Battery Design'!$F63*'Battery Design'!$E63,0)+IF(Chem!$C$59=$B$80,'Battery Design'!G64*'Battery Design'!$F64*'Battery Design'!$E64,0))/1000*G10</f>
        <v>36.78116131873194</v>
      </c>
      <c r="H81" s="127">
        <f ca="1">(IF(Chem!$C$31=$B$80,'Battery Design'!H63*'Battery Design'!$F63*'Battery Design'!$E63,0)+IF(Chem!$C$59=$B$80,'Battery Design'!H64*'Battery Design'!$F64*'Battery Design'!$E64,0))/1000*H10</f>
        <v>36.78116131873194</v>
      </c>
      <c r="I81" s="127">
        <f ca="1">(IF(Chem!$C$31=$B$80,'Battery Design'!I63*'Battery Design'!$F63*'Battery Design'!$E63,0)+IF(Chem!$C$59=$B$80,'Battery Design'!I64*'Battery Design'!$F64*'Battery Design'!$E64,0))/1000*I10</f>
        <v>36.78116131873194</v>
      </c>
      <c r="J81" s="127">
        <f ca="1">(IF(Chem!$C$31=$B$80,'Battery Design'!J63*'Battery Design'!$F63*'Battery Design'!$E63,0)+IF(Chem!$C$59=$B$80,'Battery Design'!J64*'Battery Design'!$F64*'Battery Design'!$E64,0))/1000*J10</f>
        <v>36.78116131873194</v>
      </c>
      <c r="K81" s="127">
        <f ca="1">(IF(Chem!$C$31=$B$80,'Battery Design'!K63*'Battery Design'!$F63*'Battery Design'!$E63,0)+IF(Chem!$C$59=$B$80,'Battery Design'!K64*'Battery Design'!$F64*'Battery Design'!$E64,0))/1000*K10</f>
        <v>36.78116131873194</v>
      </c>
      <c r="L81" s="127">
        <f ca="1">(IF(Chem!$C$31=$B$80,'Battery Design'!L63*'Battery Design'!$F63*'Battery Design'!$E63,0)+IF(Chem!$C$59=$B$80,'Battery Design'!L64*'Battery Design'!$F64*'Battery Design'!$E64,0))/1000*L10</f>
        <v>36.78116131873194</v>
      </c>
      <c r="M81" s="127">
        <f ca="1">(IF(Chem!$C$31=$B$80,'Battery Design'!M63*'Battery Design'!$F63*'Battery Design'!$E63,0)+IF(Chem!$C$59=$B$80,'Battery Design'!M64*'Battery Design'!$F64*'Battery Design'!$E64,0))/1000*M10</f>
        <v>36.78116131873194</v>
      </c>
      <c r="N81" s="562"/>
      <c r="O81" s="78"/>
      <c r="P81" s="33"/>
      <c r="Q81" s="33"/>
      <c r="R81" s="33"/>
      <c r="S81" s="33"/>
      <c r="T81" s="33"/>
      <c r="U81" s="33"/>
    </row>
    <row r="82" spans="1:21" x14ac:dyDescent="0.15">
      <c r="B82" s="497" t="s">
        <v>1749</v>
      </c>
      <c r="C82" s="497"/>
      <c r="D82" s="497"/>
      <c r="E82" s="46"/>
      <c r="F82" s="8"/>
      <c r="G82" s="127">
        <f ca="1">(IF(Chem!$D$31=$B$80,'Battery Design'!G73,0)+IF(Chem!$D$59=$B$80,'Battery Design'!G74,0))/1000*G10</f>
        <v>5.6271202796861353</v>
      </c>
      <c r="H82" s="127">
        <f ca="1">(IF(Chem!$D$31=$B$80,'Battery Design'!H73,0)+IF(Chem!$D$59=$B$80,'Battery Design'!H74,0))/1000*H10</f>
        <v>5.6271202796861353</v>
      </c>
      <c r="I82" s="127">
        <f ca="1">(IF(Chem!$D$31=$B$80,'Battery Design'!I73,0)+IF(Chem!$D$59=$B$80,'Battery Design'!I74,0))/1000*I10</f>
        <v>5.6271202796861353</v>
      </c>
      <c r="J82" s="127">
        <f ca="1">(IF(Chem!$D$31=$B$80,'Battery Design'!J73,0)+IF(Chem!$D$59=$B$80,'Battery Design'!J74,0))/1000*J10</f>
        <v>5.6271202796861353</v>
      </c>
      <c r="K82" s="127">
        <f ca="1">(IF(Chem!$D$31=$B$80,'Battery Design'!K73,0)+IF(Chem!$D$59=$B$80,'Battery Design'!K74,0))/1000*K10</f>
        <v>5.6271202796861353</v>
      </c>
      <c r="L82" s="127">
        <f ca="1">(IF(Chem!$D$31=$B$80,'Battery Design'!L73,0)+IF(Chem!$D$59=$B$80,'Battery Design'!L74,0))/1000*L10</f>
        <v>5.6271202796861353</v>
      </c>
      <c r="M82" s="127">
        <f ca="1">(IF(Chem!$D$31=$B$80,'Battery Design'!M73,0)+IF(Chem!$D$59=$B$80,'Battery Design'!M74,0))/1000*M10</f>
        <v>5.6271202796861353</v>
      </c>
      <c r="N82" s="562"/>
      <c r="O82" s="33"/>
      <c r="P82" s="33"/>
      <c r="Q82" s="33"/>
      <c r="R82" s="33"/>
      <c r="S82" s="33"/>
      <c r="T82" s="33"/>
      <c r="U82" s="33"/>
    </row>
    <row r="83" spans="1:21" x14ac:dyDescent="0.15">
      <c r="B83" s="497" t="s">
        <v>1750</v>
      </c>
      <c r="C83" s="497"/>
      <c r="D83" s="497"/>
      <c r="E83" s="46"/>
      <c r="F83" s="8"/>
      <c r="G83" s="820">
        <f ca="1">G11*'Battery Design'!G322/1000</f>
        <v>6.7629342386885547</v>
      </c>
      <c r="H83" s="820">
        <f ca="1">H11*'Battery Design'!H322/1000</f>
        <v>6.7629342386885547</v>
      </c>
      <c r="I83" s="820">
        <f ca="1">I11*'Battery Design'!I322/1000</f>
        <v>6.7629342386885547</v>
      </c>
      <c r="J83" s="820">
        <f ca="1">J11*'Battery Design'!J322/1000</f>
        <v>6.7629342386885547</v>
      </c>
      <c r="K83" s="820">
        <f ca="1">K11*'Battery Design'!K322/1000</f>
        <v>6.7629342386885547</v>
      </c>
      <c r="L83" s="820">
        <f ca="1">L11*'Battery Design'!L322/1000</f>
        <v>6.7629342386885547</v>
      </c>
      <c r="M83" s="820">
        <f ca="1">M11*'Battery Design'!M322/1000</f>
        <v>6.7629342386885547</v>
      </c>
      <c r="O83" s="33"/>
      <c r="P83" s="33"/>
      <c r="Q83" s="33"/>
      <c r="R83" s="33"/>
      <c r="S83" s="33"/>
      <c r="T83" s="33"/>
      <c r="U83" s="33"/>
    </row>
    <row r="84" spans="1:21" x14ac:dyDescent="0.15">
      <c r="B84" s="497" t="s">
        <v>1751</v>
      </c>
      <c r="C84" s="497"/>
      <c r="D84" s="497"/>
      <c r="E84" s="46"/>
      <c r="F84" s="8"/>
      <c r="G84" s="820">
        <f ca="1">G11*'Battery Design'!G332/1000</f>
        <v>0.98653911556704099</v>
      </c>
      <c r="H84" s="820">
        <f ca="1">H11*'Battery Design'!H332/1000</f>
        <v>0.98653911556704099</v>
      </c>
      <c r="I84" s="820">
        <f ca="1">I11*'Battery Design'!I332/1000</f>
        <v>0.98653911556704099</v>
      </c>
      <c r="J84" s="820">
        <f ca="1">J11*'Battery Design'!J332/1000</f>
        <v>0.98653911556704099</v>
      </c>
      <c r="K84" s="820">
        <f ca="1">K11*'Battery Design'!K332/1000</f>
        <v>0.98653911556704099</v>
      </c>
      <c r="L84" s="820">
        <f ca="1">L11*'Battery Design'!L332/1000</f>
        <v>0.98653911556704099</v>
      </c>
      <c r="M84" s="820">
        <f ca="1">M11*'Battery Design'!M332/1000</f>
        <v>0.98653911556704099</v>
      </c>
      <c r="O84" s="33"/>
      <c r="P84" s="33"/>
      <c r="Q84" s="33"/>
      <c r="R84" s="33"/>
      <c r="S84" s="33"/>
      <c r="T84" s="33"/>
      <c r="U84" s="33"/>
    </row>
    <row r="85" spans="1:21" x14ac:dyDescent="0.15">
      <c r="B85" s="497" t="s">
        <v>1752</v>
      </c>
      <c r="C85" s="497"/>
      <c r="D85" s="497"/>
      <c r="E85" s="46"/>
      <c r="F85" s="8"/>
      <c r="G85" s="395">
        <f ca="1">G11*'Battery Design'!G336/1000</f>
        <v>0.97662389793252735</v>
      </c>
      <c r="H85" s="395">
        <f ca="1">H11*'Battery Design'!H336/1000</f>
        <v>0.97662389793252735</v>
      </c>
      <c r="I85" s="395">
        <f ca="1">I11*'Battery Design'!I336/1000</f>
        <v>0.97662389793252735</v>
      </c>
      <c r="J85" s="395">
        <f ca="1">J11*'Battery Design'!J336/1000</f>
        <v>0.97662389793252735</v>
      </c>
      <c r="K85" s="395">
        <f ca="1">K11*'Battery Design'!K336/1000</f>
        <v>0.97662389793252735</v>
      </c>
      <c r="L85" s="395">
        <f ca="1">L11*'Battery Design'!L336/1000</f>
        <v>0.97662389793252735</v>
      </c>
      <c r="M85" s="395">
        <f ca="1">M11*'Battery Design'!M336/1000</f>
        <v>0.97662389793252735</v>
      </c>
      <c r="O85" s="33"/>
      <c r="P85" s="33"/>
      <c r="Q85" s="33"/>
      <c r="R85" s="33"/>
      <c r="S85" s="33"/>
      <c r="T85" s="33"/>
      <c r="U85" s="33"/>
    </row>
    <row r="86" spans="1:21" x14ac:dyDescent="0.15">
      <c r="B86" s="497" t="s">
        <v>1753</v>
      </c>
      <c r="C86" s="497"/>
      <c r="D86" s="497"/>
      <c r="E86" s="46"/>
      <c r="F86" s="8"/>
      <c r="G86" s="395">
        <f ca="1">((('Battery Design'!G29+1)*'Battery Design'!G453)+'Battery Design'!G454)/1000</f>
        <v>2.0098600110850287</v>
      </c>
      <c r="H86" s="395">
        <f ca="1">((('Battery Design'!H29+1)*'Battery Design'!H453)+'Battery Design'!H454)/1000</f>
        <v>2.0098600110850287</v>
      </c>
      <c r="I86" s="395">
        <f ca="1">((('Battery Design'!I29+1)*'Battery Design'!I453)+'Battery Design'!I454)/1000</f>
        <v>2.0098600110850287</v>
      </c>
      <c r="J86" s="395">
        <f ca="1">((('Battery Design'!J29+1)*'Battery Design'!J453)+'Battery Design'!J454)/1000</f>
        <v>2.0098600110850287</v>
      </c>
      <c r="K86" s="395">
        <f ca="1">((('Battery Design'!K29+1)*'Battery Design'!K453)+'Battery Design'!K454)/1000</f>
        <v>2.0098600110850287</v>
      </c>
      <c r="L86" s="395">
        <f ca="1">((('Battery Design'!L29+1)*'Battery Design'!L453)+'Battery Design'!L454)/1000</f>
        <v>2.0098600110850287</v>
      </c>
      <c r="M86" s="395">
        <f ca="1">((('Battery Design'!M29+1)*'Battery Design'!M453)+'Battery Design'!M454)/1000</f>
        <v>2.0098600110850287</v>
      </c>
      <c r="O86" s="33"/>
      <c r="P86" s="33"/>
      <c r="Q86" s="33"/>
      <c r="R86" s="33"/>
      <c r="S86" s="33"/>
      <c r="T86" s="33"/>
      <c r="U86" s="33"/>
    </row>
    <row r="87" spans="1:21" x14ac:dyDescent="0.15">
      <c r="B87" s="497" t="s">
        <v>1754</v>
      </c>
      <c r="C87" s="497"/>
      <c r="D87" s="497"/>
      <c r="E87" s="46"/>
      <c r="F87" s="8"/>
      <c r="G87" s="395">
        <f ca="1">'Battery Design'!G454/1000</f>
        <v>1.0576517106008145</v>
      </c>
      <c r="H87" s="395">
        <f ca="1">'Battery Design'!H454/1000</f>
        <v>1.0576517106008145</v>
      </c>
      <c r="I87" s="395">
        <f ca="1">'Battery Design'!I454/1000</f>
        <v>1.0576517106008145</v>
      </c>
      <c r="J87" s="395">
        <f ca="1">'Battery Design'!J454/1000</f>
        <v>1.0576517106008145</v>
      </c>
      <c r="K87" s="395">
        <f ca="1">'Battery Design'!K454/1000</f>
        <v>1.0576517106008145</v>
      </c>
      <c r="L87" s="395">
        <f ca="1">'Battery Design'!L454/1000</f>
        <v>1.0576517106008145</v>
      </c>
      <c r="M87" s="395">
        <f ca="1">'Battery Design'!M454/1000</f>
        <v>1.0576517106008145</v>
      </c>
      <c r="O87" s="33"/>
      <c r="P87" s="33"/>
      <c r="Q87" s="33"/>
      <c r="R87" s="33"/>
      <c r="S87" s="33"/>
      <c r="T87" s="33"/>
      <c r="U87" s="33"/>
    </row>
    <row r="88" spans="1:21" x14ac:dyDescent="0.15">
      <c r="B88" s="497" t="s">
        <v>1755</v>
      </c>
      <c r="C88" s="497"/>
      <c r="D88" s="497"/>
      <c r="E88" s="46"/>
      <c r="F88" s="8"/>
      <c r="G88" s="395">
        <f ca="1">'Battery Design'!G455*0.9/1000</f>
        <v>0.4603849205979525</v>
      </c>
      <c r="H88" s="395">
        <f ca="1">'Battery Design'!H455*0.9/1000</f>
        <v>0.4603849205979525</v>
      </c>
      <c r="I88" s="395">
        <f ca="1">'Battery Design'!I455*0.9/1000</f>
        <v>0.4603849205979525</v>
      </c>
      <c r="J88" s="395">
        <f ca="1">'Battery Design'!J455*0.9/1000</f>
        <v>0.4603849205979525</v>
      </c>
      <c r="K88" s="395">
        <f ca="1">'Battery Design'!K455*0.9/1000</f>
        <v>0.4603849205979525</v>
      </c>
      <c r="L88" s="395">
        <f ca="1">'Battery Design'!L455*0.9/1000</f>
        <v>0.4603849205979525</v>
      </c>
      <c r="M88" s="395">
        <f ca="1">'Battery Design'!M455*0.9/1000</f>
        <v>0.4603849205979525</v>
      </c>
      <c r="O88" s="33"/>
      <c r="P88" s="33"/>
      <c r="Q88" s="33"/>
      <c r="R88" s="33"/>
      <c r="S88" s="33"/>
      <c r="T88" s="33"/>
      <c r="U88" s="33"/>
    </row>
    <row r="89" spans="1:21" x14ac:dyDescent="0.15">
      <c r="B89" s="497" t="s">
        <v>1756</v>
      </c>
      <c r="C89" s="497"/>
      <c r="D89" s="497"/>
      <c r="E89" s="46"/>
      <c r="F89" s="8"/>
      <c r="G89" s="395">
        <f t="shared" ref="G89:M89" ca="1" si="16">SUM(G81:G88)</f>
        <v>54.662275492889997</v>
      </c>
      <c r="H89" s="395">
        <f t="shared" ca="1" si="16"/>
        <v>54.662275492889997</v>
      </c>
      <c r="I89" s="395">
        <f t="shared" ca="1" si="16"/>
        <v>54.662275492889997</v>
      </c>
      <c r="J89" s="395">
        <f t="shared" ca="1" si="16"/>
        <v>54.662275492889997</v>
      </c>
      <c r="K89" s="395">
        <f t="shared" ca="1" si="16"/>
        <v>54.662275492889997</v>
      </c>
      <c r="L89" s="395">
        <f t="shared" ca="1" si="16"/>
        <v>54.662275492889997</v>
      </c>
      <c r="M89" s="395">
        <f t="shared" ca="1" si="16"/>
        <v>54.662275492889997</v>
      </c>
      <c r="O89" s="33"/>
      <c r="P89" s="33"/>
      <c r="Q89" s="33"/>
      <c r="R89" s="33"/>
      <c r="S89" s="33"/>
      <c r="T89" s="33"/>
      <c r="U89" s="33"/>
    </row>
    <row r="90" spans="1:21" x14ac:dyDescent="0.15">
      <c r="A90" s="1214" t="s">
        <v>352</v>
      </c>
      <c r="B90" s="497" t="s">
        <v>1757</v>
      </c>
      <c r="C90" s="497"/>
      <c r="D90" s="497"/>
      <c r="E90" s="46"/>
      <c r="F90" s="8"/>
      <c r="G90" s="395">
        <f ca="1">G89/'Battery Design'!G491</f>
        <v>0.54662275492880297</v>
      </c>
      <c r="H90" s="395">
        <f ca="1">H89/'Battery Design'!H491</f>
        <v>0.54662275492880297</v>
      </c>
      <c r="I90" s="395">
        <f ca="1">I89/'Battery Design'!I491</f>
        <v>0.54662275492880297</v>
      </c>
      <c r="J90" s="395">
        <f ca="1">J89/'Battery Design'!J491</f>
        <v>0.54662275492880297</v>
      </c>
      <c r="K90" s="395">
        <f ca="1">K89/'Battery Design'!K491</f>
        <v>0.54662275492880297</v>
      </c>
      <c r="L90" s="395">
        <f ca="1">L89/'Battery Design'!L491</f>
        <v>0.54662275492880297</v>
      </c>
      <c r="M90" s="395">
        <f ca="1">M89/'Battery Design'!M491</f>
        <v>0.54662275492880297</v>
      </c>
      <c r="O90" s="33"/>
      <c r="P90" s="33"/>
      <c r="Q90" s="33"/>
      <c r="R90" s="33"/>
      <c r="S90" s="33"/>
      <c r="T90" s="33"/>
      <c r="U90" s="33"/>
    </row>
    <row r="91" spans="1:21" x14ac:dyDescent="0.15">
      <c r="A91" s="1214"/>
      <c r="B91" s="500"/>
      <c r="C91" s="497"/>
      <c r="D91" s="497"/>
      <c r="E91" s="46"/>
      <c r="F91" s="8"/>
      <c r="G91" s="395"/>
      <c r="H91" s="395"/>
      <c r="I91" s="395"/>
      <c r="J91" s="395"/>
      <c r="K91" s="395"/>
      <c r="L91" s="395"/>
      <c r="M91" s="395"/>
      <c r="O91" s="33"/>
      <c r="P91" s="33"/>
      <c r="Q91" s="33"/>
      <c r="R91" s="33"/>
      <c r="S91" s="33"/>
      <c r="T91" s="33"/>
      <c r="U91" s="33"/>
    </row>
    <row r="92" spans="1:21" ht="14" x14ac:dyDescent="0.15">
      <c r="A92" s="1214"/>
      <c r="B92" s="549" t="s">
        <v>1398</v>
      </c>
      <c r="C92" s="495"/>
      <c r="D92" s="495"/>
      <c r="E92" s="496"/>
      <c r="F92" s="8"/>
      <c r="G92" s="395"/>
      <c r="H92" s="395"/>
      <c r="I92" s="395"/>
      <c r="J92" s="395"/>
      <c r="K92" s="395"/>
      <c r="L92" s="395"/>
      <c r="M92" s="395"/>
      <c r="N92" s="562"/>
      <c r="O92" s="33"/>
      <c r="P92" s="33"/>
      <c r="Q92" s="33"/>
      <c r="R92" s="33"/>
      <c r="S92" s="33"/>
      <c r="T92" s="33"/>
      <c r="U92" s="33"/>
    </row>
    <row r="93" spans="1:21" x14ac:dyDescent="0.15">
      <c r="A93" s="1214"/>
      <c r="B93" s="495" t="s">
        <v>1758</v>
      </c>
      <c r="C93" s="495"/>
      <c r="D93" s="495"/>
      <c r="E93" s="496"/>
      <c r="F93" s="8"/>
      <c r="G93" s="821">
        <f ca="1">IF('Battery Design'!G374=$B$92,'Battery Design'!G27*('Battery Design'!G394-'Battery Design'!G393),0)</f>
        <v>61.792940276763275</v>
      </c>
      <c r="H93" s="821">
        <f ca="1">IF('Battery Design'!H374=$B$92,'Battery Design'!H27*('Battery Design'!H394-'Battery Design'!H393),0)</f>
        <v>61.792940276763275</v>
      </c>
      <c r="I93" s="821">
        <f ca="1">IF('Battery Design'!I374=$B$92,'Battery Design'!I27*('Battery Design'!I394-'Battery Design'!I393),0)</f>
        <v>61.792940276763275</v>
      </c>
      <c r="J93" s="821">
        <f ca="1">IF('Battery Design'!J374=$B$92,'Battery Design'!J27*('Battery Design'!J394-'Battery Design'!J393),0)</f>
        <v>61.792940276763275</v>
      </c>
      <c r="K93" s="821">
        <f ca="1">IF('Battery Design'!K374=$B$92,'Battery Design'!K27*('Battery Design'!K394-'Battery Design'!K393),0)</f>
        <v>61.792940276763275</v>
      </c>
      <c r="L93" s="821">
        <f ca="1">IF('Battery Design'!L374=$B$92,'Battery Design'!L27*('Battery Design'!L394-'Battery Design'!L393),0)</f>
        <v>61.792940276763275</v>
      </c>
      <c r="M93" s="821">
        <f ca="1">IF('Battery Design'!M374=$B$92,'Battery Design'!M27*('Battery Design'!M394-'Battery Design'!M393),0)</f>
        <v>61.792940276763275</v>
      </c>
      <c r="N93" s="562"/>
      <c r="O93" s="33"/>
      <c r="P93" s="33"/>
      <c r="Q93" s="33"/>
      <c r="R93" s="33"/>
      <c r="S93" s="33"/>
      <c r="T93" s="33"/>
      <c r="U93" s="33"/>
    </row>
    <row r="94" spans="1:21" x14ac:dyDescent="0.15">
      <c r="B94" s="495" t="s">
        <v>1759</v>
      </c>
      <c r="C94" s="495"/>
      <c r="D94" s="495"/>
      <c r="E94" s="496"/>
      <c r="F94" s="8"/>
      <c r="G94" s="821">
        <f ca="1">IF('Battery Design'!G428=$B$92,'Battery Design'!G436,0)</f>
        <v>21.919626462717147</v>
      </c>
      <c r="H94" s="821">
        <f ca="1">IF('Battery Design'!H428=$B$92,'Battery Design'!H436,0)</f>
        <v>21.919626462717147</v>
      </c>
      <c r="I94" s="821">
        <f ca="1">IF('Battery Design'!I428=$B$92,'Battery Design'!I436,0)</f>
        <v>21.919626462717147</v>
      </c>
      <c r="J94" s="821">
        <f ca="1">IF('Battery Design'!J428=$B$92,'Battery Design'!J436,0)</f>
        <v>21.919626462717147</v>
      </c>
      <c r="K94" s="821">
        <f ca="1">IF('Battery Design'!K428=$B$92,'Battery Design'!K436,0)</f>
        <v>21.919626462717147</v>
      </c>
      <c r="L94" s="821">
        <f ca="1">IF('Battery Design'!L428=$B$92,'Battery Design'!L436,0)</f>
        <v>21.919626462717147</v>
      </c>
      <c r="M94" s="821">
        <f ca="1">IF('Battery Design'!M428=$B$92,'Battery Design'!M436,0)</f>
        <v>21.919626462717147</v>
      </c>
      <c r="O94" s="33"/>
      <c r="P94" s="33"/>
      <c r="Q94" s="33"/>
      <c r="R94" s="33"/>
      <c r="S94" s="33"/>
      <c r="T94" s="33"/>
      <c r="U94" s="33"/>
    </row>
    <row r="95" spans="1:21" x14ac:dyDescent="0.15">
      <c r="B95" s="495" t="s">
        <v>2410</v>
      </c>
      <c r="G95" s="821">
        <f ca="1">IF('Battery Design'!G430=$B$92,'Battery Design'!G434,0)</f>
        <v>16.464248247019768</v>
      </c>
      <c r="H95" s="821">
        <f ca="1">IF('Battery Design'!H430=$B$92,'Battery Design'!H434,0)</f>
        <v>16.464248247019768</v>
      </c>
      <c r="I95" s="821">
        <f ca="1">IF('Battery Design'!I430=$B$92,'Battery Design'!I434,0)</f>
        <v>16.464248247019768</v>
      </c>
      <c r="J95" s="821">
        <f ca="1">IF('Battery Design'!J430=$B$92,'Battery Design'!J434,0)</f>
        <v>16.464248247019768</v>
      </c>
      <c r="K95" s="821">
        <f ca="1">IF('Battery Design'!K430=$B$92,'Battery Design'!K434,0)</f>
        <v>16.464248247019768</v>
      </c>
      <c r="L95" s="821">
        <f ca="1">IF('Battery Design'!L430=$B$92,'Battery Design'!L434,0)</f>
        <v>16.464248247019768</v>
      </c>
      <c r="M95" s="821">
        <f ca="1">IF('Battery Design'!M430=$B$92,'Battery Design'!M434,0)</f>
        <v>16.464248247019768</v>
      </c>
      <c r="O95" s="33"/>
      <c r="P95" s="33"/>
      <c r="Q95" s="33"/>
      <c r="R95" s="33"/>
      <c r="S95" s="33"/>
      <c r="T95" s="33"/>
      <c r="U95" s="33"/>
    </row>
    <row r="96" spans="1:21" x14ac:dyDescent="0.15">
      <c r="B96" s="495" t="s">
        <v>1760</v>
      </c>
      <c r="C96" s="495"/>
      <c r="D96" s="495"/>
      <c r="E96" s="496"/>
      <c r="F96" s="8"/>
      <c r="G96" s="821">
        <f ca="1">G93+G94+G95</f>
        <v>100.17681498650019</v>
      </c>
      <c r="H96" s="821">
        <f t="shared" ref="H96:M96" ca="1" si="17">H93+H94+H95</f>
        <v>100.17681498650019</v>
      </c>
      <c r="I96" s="821">
        <f t="shared" ca="1" si="17"/>
        <v>100.17681498650019</v>
      </c>
      <c r="J96" s="821">
        <f t="shared" ca="1" si="17"/>
        <v>100.17681498650019</v>
      </c>
      <c r="K96" s="821">
        <f t="shared" ca="1" si="17"/>
        <v>100.17681498650019</v>
      </c>
      <c r="L96" s="821">
        <f t="shared" ca="1" si="17"/>
        <v>100.17681498650019</v>
      </c>
      <c r="M96" s="821">
        <f t="shared" ca="1" si="17"/>
        <v>100.17681498650019</v>
      </c>
      <c r="O96" s="33"/>
      <c r="P96" s="33"/>
      <c r="Q96" s="33"/>
      <c r="R96" s="33"/>
      <c r="S96" s="33"/>
      <c r="T96" s="33"/>
      <c r="U96" s="33"/>
    </row>
    <row r="97" spans="2:21" x14ac:dyDescent="0.15">
      <c r="B97" s="495" t="s">
        <v>1761</v>
      </c>
      <c r="C97" s="495"/>
      <c r="D97" s="495"/>
      <c r="E97" s="496"/>
      <c r="F97" s="8"/>
      <c r="G97" s="395">
        <f ca="1">G96/'Battery Design'!G491</f>
        <v>1.0017681498648243</v>
      </c>
      <c r="H97" s="395">
        <f ca="1">H96/'Battery Design'!H491</f>
        <v>1.0017681498648243</v>
      </c>
      <c r="I97" s="395">
        <f ca="1">I96/'Battery Design'!I491</f>
        <v>1.0017681498648243</v>
      </c>
      <c r="J97" s="395">
        <f ca="1">J96/'Battery Design'!J491</f>
        <v>1.0017681498648243</v>
      </c>
      <c r="K97" s="395">
        <f ca="1">K96/'Battery Design'!K491</f>
        <v>1.0017681498648243</v>
      </c>
      <c r="L97" s="395">
        <f ca="1">L96/'Battery Design'!L491</f>
        <v>1.0017681498648243</v>
      </c>
      <c r="M97" s="395">
        <f ca="1">M96/'Battery Design'!M491</f>
        <v>1.0017681498648243</v>
      </c>
      <c r="O97" s="33"/>
      <c r="P97" s="33"/>
      <c r="Q97" s="33"/>
      <c r="R97" s="33"/>
      <c r="S97" s="33"/>
      <c r="T97" s="33"/>
      <c r="U97" s="33"/>
    </row>
    <row r="98" spans="2:21" x14ac:dyDescent="0.15">
      <c r="B98" s="499"/>
      <c r="C98" s="495"/>
      <c r="D98" s="495"/>
      <c r="E98" s="496"/>
      <c r="F98" s="8"/>
      <c r="G98" s="395"/>
      <c r="H98" s="395"/>
      <c r="I98" s="395"/>
      <c r="J98" s="395"/>
      <c r="K98" s="395"/>
      <c r="L98" s="395"/>
      <c r="M98" s="395"/>
      <c r="O98" s="33"/>
      <c r="P98" s="33"/>
      <c r="Q98" s="33"/>
      <c r="R98" s="33"/>
      <c r="S98" s="33"/>
      <c r="T98" s="33"/>
      <c r="U98" s="33"/>
    </row>
    <row r="99" spans="2:21" ht="14" x14ac:dyDescent="0.15">
      <c r="B99" s="551" t="s">
        <v>1762</v>
      </c>
      <c r="C99" s="498"/>
      <c r="D99" s="498"/>
      <c r="E99" s="46"/>
      <c r="F99" s="8"/>
      <c r="G99" s="821"/>
      <c r="H99" s="821"/>
      <c r="I99" s="821"/>
      <c r="J99" s="821"/>
      <c r="K99" s="821"/>
      <c r="L99" s="821"/>
      <c r="M99" s="821"/>
      <c r="O99" s="33"/>
      <c r="P99" s="33"/>
      <c r="Q99" s="33"/>
      <c r="R99" s="33"/>
      <c r="S99" s="33"/>
      <c r="T99" s="33"/>
      <c r="U99" s="33"/>
    </row>
    <row r="100" spans="2:21" x14ac:dyDescent="0.15">
      <c r="B100" s="498" t="s">
        <v>2411</v>
      </c>
      <c r="C100" s="498"/>
      <c r="D100" s="498"/>
      <c r="E100" s="46"/>
      <c r="F100" s="8"/>
      <c r="G100" s="821">
        <f ca="1">IF('Battery Design'!G346=$B$99,'Battery Design'!G348/1000*'Battery Design'!G29,0)</f>
        <v>17.361993112870188</v>
      </c>
      <c r="H100" s="821">
        <f ca="1">IF('Battery Design'!H346=$B$99,'Battery Design'!H348/1000*'Battery Design'!H29,0)</f>
        <v>17.361993112870188</v>
      </c>
      <c r="I100" s="821">
        <f ca="1">IF('Battery Design'!I346=$B$99,'Battery Design'!I348/1000*'Battery Design'!I29,0)</f>
        <v>17.361993112870188</v>
      </c>
      <c r="J100" s="821">
        <f ca="1">IF('Battery Design'!J346=$B$99,'Battery Design'!J348/1000*'Battery Design'!J29,0)</f>
        <v>17.361993112870188</v>
      </c>
      <c r="K100" s="821">
        <f ca="1">IF('Battery Design'!K346=$B$99,'Battery Design'!K348/1000*'Battery Design'!K29,0)</f>
        <v>17.361993112870188</v>
      </c>
      <c r="L100" s="821">
        <f ca="1">IF('Battery Design'!L346=$B$99,'Battery Design'!L348/1000*'Battery Design'!L29,0)</f>
        <v>17.361993112870188</v>
      </c>
      <c r="M100" s="821">
        <f ca="1">IF('Battery Design'!M346=$B$99,'Battery Design'!M348/1000*'Battery Design'!M29,0)</f>
        <v>17.361993112870188</v>
      </c>
      <c r="O100" s="33"/>
      <c r="P100" s="33"/>
      <c r="Q100" s="33"/>
      <c r="R100" s="33"/>
      <c r="S100" s="33"/>
      <c r="T100" s="33"/>
      <c r="U100" s="33"/>
    </row>
    <row r="101" spans="2:21" x14ac:dyDescent="0.15">
      <c r="B101" s="498" t="s">
        <v>1763</v>
      </c>
      <c r="C101" s="498"/>
      <c r="D101" s="498"/>
      <c r="E101" s="46"/>
      <c r="F101" s="8"/>
      <c r="G101" s="821">
        <f ca="1">IF('Battery Design'!G397=$B$99,'Battery Design'!G403,0)</f>
        <v>18.956175536113246</v>
      </c>
      <c r="H101" s="821">
        <f ca="1">IF('Battery Design'!H397=$B$99,'Battery Design'!H403,0)</f>
        <v>18.956175536113246</v>
      </c>
      <c r="I101" s="821">
        <f ca="1">IF('Battery Design'!I397=$B$99,'Battery Design'!I403,0)</f>
        <v>18.956175536113246</v>
      </c>
      <c r="J101" s="821">
        <f ca="1">IF('Battery Design'!J397=$B$99,'Battery Design'!J403,0)</f>
        <v>18.956175536113246</v>
      </c>
      <c r="K101" s="821">
        <f ca="1">IF('Battery Design'!K397=$B$99,'Battery Design'!K403,0)</f>
        <v>18.956175536113246</v>
      </c>
      <c r="L101" s="821">
        <f ca="1">IF('Battery Design'!L397=$B$99,'Battery Design'!L403,0)</f>
        <v>18.956175536113246</v>
      </c>
      <c r="M101" s="821">
        <f ca="1">IF('Battery Design'!M397=$B$99,'Battery Design'!M403,0)</f>
        <v>18.956175536113246</v>
      </c>
      <c r="O101" s="33"/>
      <c r="P101" s="33"/>
      <c r="Q101" s="33"/>
      <c r="R101" s="33"/>
      <c r="S101" s="33"/>
      <c r="T101" s="33"/>
      <c r="U101" s="33"/>
    </row>
    <row r="102" spans="2:21" x14ac:dyDescent="0.15">
      <c r="B102" s="498" t="s">
        <v>1764</v>
      </c>
      <c r="C102" s="498"/>
      <c r="D102" s="498"/>
      <c r="E102" s="46"/>
      <c r="F102" s="8"/>
      <c r="G102" s="821">
        <f ca="1">IF('Battery Design'!G397=$B$99,'Battery Design'!G410,0)</f>
        <v>1.0297339002160226</v>
      </c>
      <c r="H102" s="821">
        <f ca="1">IF('Battery Design'!H397=$B$99,'Battery Design'!H410,0)</f>
        <v>1.0297339002160226</v>
      </c>
      <c r="I102" s="821">
        <f ca="1">IF('Battery Design'!I397=$B$99,'Battery Design'!I410,0)</f>
        <v>1.0297339002160226</v>
      </c>
      <c r="J102" s="821">
        <f ca="1">IF('Battery Design'!J397=$B$99,'Battery Design'!J410,0)</f>
        <v>1.0297339002160226</v>
      </c>
      <c r="K102" s="821">
        <f ca="1">IF('Battery Design'!K397=$B$99,'Battery Design'!K410,0)</f>
        <v>1.0297339002160226</v>
      </c>
      <c r="L102" s="821">
        <f ca="1">IF('Battery Design'!L397=$B$99,'Battery Design'!L410,0)</f>
        <v>1.0297339002160226</v>
      </c>
      <c r="M102" s="821">
        <f ca="1">IF('Battery Design'!M397=$B$99,'Battery Design'!M410,0)</f>
        <v>1.0297339002160226</v>
      </c>
      <c r="O102" s="33"/>
      <c r="P102" s="33"/>
      <c r="Q102" s="33"/>
      <c r="R102" s="33"/>
      <c r="S102" s="33"/>
      <c r="T102" s="33"/>
      <c r="U102" s="33"/>
    </row>
    <row r="103" spans="2:21" x14ac:dyDescent="0.15">
      <c r="B103" s="498" t="s">
        <v>1765</v>
      </c>
      <c r="C103" s="498"/>
      <c r="D103" s="498"/>
      <c r="E103" s="46"/>
      <c r="F103" s="8"/>
      <c r="G103" s="821">
        <f ca="1">G100+G101+G102</f>
        <v>37.347902549199453</v>
      </c>
      <c r="H103" s="821">
        <f t="shared" ref="H103:M103" ca="1" si="18">H100+H101+H102</f>
        <v>37.347902549199453</v>
      </c>
      <c r="I103" s="821">
        <f t="shared" ca="1" si="18"/>
        <v>37.347902549199453</v>
      </c>
      <c r="J103" s="821">
        <f t="shared" ca="1" si="18"/>
        <v>37.347902549199453</v>
      </c>
      <c r="K103" s="821">
        <f t="shared" ca="1" si="18"/>
        <v>37.347902549199453</v>
      </c>
      <c r="L103" s="821">
        <f t="shared" ca="1" si="18"/>
        <v>37.347902549199453</v>
      </c>
      <c r="M103" s="821">
        <f t="shared" ca="1" si="18"/>
        <v>37.347902549199453</v>
      </c>
      <c r="O103" s="33"/>
      <c r="P103" s="33"/>
      <c r="Q103" s="33"/>
      <c r="R103" s="33"/>
      <c r="S103" s="33"/>
      <c r="T103" s="33"/>
      <c r="U103" s="33"/>
    </row>
    <row r="104" spans="2:21" x14ac:dyDescent="0.15">
      <c r="B104" s="498" t="s">
        <v>1766</v>
      </c>
      <c r="C104" s="498"/>
      <c r="D104" s="498"/>
      <c r="E104" s="46"/>
      <c r="F104" s="8"/>
      <c r="G104" s="395">
        <f ca="1">G103/'Battery Design'!G491</f>
        <v>0.3734790254919283</v>
      </c>
      <c r="H104" s="395">
        <f ca="1">H103/'Battery Design'!H491</f>
        <v>0.3734790254919283</v>
      </c>
      <c r="I104" s="395">
        <f ca="1">I103/'Battery Design'!I491</f>
        <v>0.3734790254919283</v>
      </c>
      <c r="J104" s="395">
        <f ca="1">J103/'Battery Design'!J491</f>
        <v>0.3734790254919283</v>
      </c>
      <c r="K104" s="395">
        <f ca="1">K103/'Battery Design'!K491</f>
        <v>0.3734790254919283</v>
      </c>
      <c r="L104" s="395">
        <f ca="1">L103/'Battery Design'!L491</f>
        <v>0.3734790254919283</v>
      </c>
      <c r="M104" s="395">
        <f ca="1">M103/'Battery Design'!M491</f>
        <v>0.3734790254919283</v>
      </c>
      <c r="O104" s="33"/>
      <c r="P104" s="33"/>
      <c r="Q104" s="33"/>
      <c r="R104" s="33"/>
      <c r="S104" s="33"/>
      <c r="T104" s="33"/>
      <c r="U104" s="33"/>
    </row>
    <row r="105" spans="2:21" ht="14" thickBot="1" x14ac:dyDescent="0.2">
      <c r="B105" s="8"/>
      <c r="C105" s="8"/>
      <c r="D105" s="8"/>
      <c r="E105" s="8"/>
      <c r="F105" s="8"/>
      <c r="G105" s="115"/>
      <c r="H105" s="822"/>
      <c r="I105" s="822"/>
      <c r="J105" s="822"/>
      <c r="K105" s="822"/>
      <c r="L105" s="822"/>
      <c r="M105" s="822"/>
    </row>
    <row r="106" spans="2:21" ht="21" thickBot="1" x14ac:dyDescent="0.25">
      <c r="B106" s="1262" t="s">
        <v>1767</v>
      </c>
      <c r="C106" s="1263"/>
      <c r="D106" s="1263"/>
      <c r="E106" s="1263"/>
      <c r="F106" s="1263"/>
      <c r="G106" s="1263"/>
      <c r="H106" s="1263"/>
      <c r="I106" s="1263"/>
      <c r="J106" s="1263"/>
      <c r="K106" s="1263"/>
      <c r="L106" s="1263"/>
      <c r="M106" s="1264"/>
    </row>
    <row r="107" spans="2:21" x14ac:dyDescent="0.15">
      <c r="B107" s="8"/>
      <c r="C107" s="8"/>
      <c r="D107" s="8"/>
      <c r="E107" s="8"/>
      <c r="F107" s="8"/>
      <c r="G107" s="120"/>
      <c r="H107" s="8"/>
      <c r="I107" s="8"/>
      <c r="J107" s="8"/>
      <c r="K107" s="8"/>
      <c r="L107" s="8"/>
      <c r="M107" s="8"/>
    </row>
    <row r="108" spans="2:21" x14ac:dyDescent="0.15">
      <c r="B108" s="8" t="s">
        <v>1051</v>
      </c>
      <c r="C108" s="8"/>
      <c r="D108" s="8"/>
      <c r="E108" s="8"/>
      <c r="F108" s="8"/>
      <c r="G108" s="95">
        <f>'Manufacturing Costs'!G14</f>
        <v>200000000</v>
      </c>
      <c r="H108" s="95">
        <f>'Manufacturing Costs'!H14</f>
        <v>200000000</v>
      </c>
      <c r="I108" s="95">
        <f>'Manufacturing Costs'!I14</f>
        <v>200000000</v>
      </c>
      <c r="J108" s="95">
        <f>'Manufacturing Costs'!J14</f>
        <v>200000000</v>
      </c>
      <c r="K108" s="95">
        <f>'Manufacturing Costs'!K14</f>
        <v>200000000</v>
      </c>
      <c r="L108" s="95">
        <f>'Manufacturing Costs'!L14</f>
        <v>200000000</v>
      </c>
      <c r="M108" s="95">
        <f>'Manufacturing Costs'!M14</f>
        <v>200000000</v>
      </c>
    </row>
    <row r="109" spans="2:21" x14ac:dyDescent="0.15">
      <c r="B109" s="8" t="s">
        <v>1768</v>
      </c>
      <c r="C109" s="8"/>
      <c r="D109" s="8"/>
      <c r="E109" s="8"/>
      <c r="F109" s="8"/>
      <c r="G109" s="95">
        <f>'Manufacturing Costs'!G15</f>
        <v>210526315.78947365</v>
      </c>
      <c r="H109" s="95">
        <f>'Manufacturing Costs'!H15</f>
        <v>210526315.78947365</v>
      </c>
      <c r="I109" s="95">
        <f>'Manufacturing Costs'!I15</f>
        <v>210526315.78947365</v>
      </c>
      <c r="J109" s="95">
        <f>'Manufacturing Costs'!J15</f>
        <v>210526315.78947365</v>
      </c>
      <c r="K109" s="95">
        <f>'Manufacturing Costs'!K15</f>
        <v>210526315.78947365</v>
      </c>
      <c r="L109" s="95">
        <f>'Manufacturing Costs'!L15</f>
        <v>210526315.78947365</v>
      </c>
      <c r="M109" s="95">
        <f>'Manufacturing Costs'!M15</f>
        <v>210526315.78947365</v>
      </c>
    </row>
    <row r="110" spans="2:21" x14ac:dyDescent="0.15">
      <c r="B110" s="8" t="s">
        <v>1769</v>
      </c>
      <c r="C110" s="8"/>
      <c r="D110" s="8"/>
      <c r="E110" s="8"/>
      <c r="F110" s="227"/>
      <c r="G110" s="502">
        <f t="shared" ref="G110:M110" si="19">G109-G108</f>
        <v>10526315.789473653</v>
      </c>
      <c r="H110" s="502">
        <f t="shared" si="19"/>
        <v>10526315.789473653</v>
      </c>
      <c r="I110" s="502">
        <f t="shared" si="19"/>
        <v>10526315.789473653</v>
      </c>
      <c r="J110" s="502">
        <f t="shared" si="19"/>
        <v>10526315.789473653</v>
      </c>
      <c r="K110" s="502">
        <f t="shared" si="19"/>
        <v>10526315.789473653</v>
      </c>
      <c r="L110" s="502">
        <f t="shared" si="19"/>
        <v>10526315.789473653</v>
      </c>
      <c r="M110" s="502">
        <f t="shared" si="19"/>
        <v>10526315.789473653</v>
      </c>
    </row>
    <row r="111" spans="2:21" x14ac:dyDescent="0.15">
      <c r="B111" s="8"/>
      <c r="C111" s="8"/>
      <c r="D111" s="8"/>
      <c r="E111" s="8"/>
      <c r="F111" s="227"/>
      <c r="G111" s="502"/>
      <c r="H111" s="502"/>
      <c r="I111" s="502"/>
      <c r="J111" s="502"/>
      <c r="K111" s="502"/>
      <c r="L111" s="502"/>
      <c r="M111" s="502"/>
    </row>
    <row r="112" spans="2:21" ht="16" x14ac:dyDescent="0.2">
      <c r="B112" s="5" t="s">
        <v>1770</v>
      </c>
      <c r="C112" s="8"/>
      <c r="D112" s="8"/>
      <c r="E112" s="8"/>
      <c r="F112" s="8"/>
      <c r="G112" s="330"/>
      <c r="H112" s="227"/>
      <c r="I112" s="8"/>
      <c r="J112" s="8"/>
      <c r="K112" s="8"/>
      <c r="L112" s="8"/>
      <c r="M112" s="8"/>
    </row>
    <row r="113" spans="2:14" ht="14" x14ac:dyDescent="0.15">
      <c r="B113" s="507" t="s">
        <v>1771</v>
      </c>
      <c r="N113" s="546"/>
    </row>
    <row r="114" spans="2:14" x14ac:dyDescent="0.15">
      <c r="B114" s="8" t="s">
        <v>2423</v>
      </c>
      <c r="F114" s="227"/>
      <c r="G114" s="227">
        <f ca="1">'Manufacturing Costs'!G72*(100-'Cost Input'!$G$12)/100</f>
        <v>5045394.1034969706</v>
      </c>
      <c r="H114" s="227">
        <f ca="1">'Manufacturing Costs'!H72*(100-'Cost Input'!$G$12)/100</f>
        <v>5045394.1034969706</v>
      </c>
      <c r="I114" s="227">
        <f ca="1">'Manufacturing Costs'!I72*(100-'Cost Input'!$G$12)/100</f>
        <v>5045394.1034969706</v>
      </c>
      <c r="J114" s="227">
        <f ca="1">'Manufacturing Costs'!J72*(100-'Cost Input'!$G$12)/100</f>
        <v>5045394.1034969706</v>
      </c>
      <c r="K114" s="227">
        <f ca="1">'Manufacturing Costs'!K72*(100-'Cost Input'!$G$12)/100</f>
        <v>5045394.1034969706</v>
      </c>
      <c r="L114" s="227">
        <f ca="1">'Manufacturing Costs'!L72*(100-'Cost Input'!$G$12)/100</f>
        <v>5045394.1034969706</v>
      </c>
      <c r="M114" s="227">
        <f ca="1">'Manufacturing Costs'!M72*(100-'Cost Input'!$G$12)/100</f>
        <v>5045394.1034969706</v>
      </c>
      <c r="N114" s="8"/>
    </row>
    <row r="115" spans="2:14" x14ac:dyDescent="0.15">
      <c r="B115" s="8" t="s">
        <v>2424</v>
      </c>
      <c r="C115" s="8"/>
      <c r="D115" s="8"/>
      <c r="E115" s="8"/>
      <c r="F115" s="227"/>
      <c r="G115" s="227">
        <f ca="1">'Manufacturing Costs'!G78*(100-'Cost Input'!$G$13)/100</f>
        <v>2983523.6555695762</v>
      </c>
      <c r="H115" s="227">
        <f ca="1">'Manufacturing Costs'!H78*(100-'Cost Input'!$G$13)/100</f>
        <v>2983523.6555695762</v>
      </c>
      <c r="I115" s="227">
        <f ca="1">'Manufacturing Costs'!I78*(100-'Cost Input'!$G$13)/100</f>
        <v>2983523.6555695762</v>
      </c>
      <c r="J115" s="227">
        <f ca="1">'Manufacturing Costs'!J78*(100-'Cost Input'!$G$13)/100</f>
        <v>2983523.6555695762</v>
      </c>
      <c r="K115" s="227">
        <f ca="1">'Manufacturing Costs'!K78*(100-'Cost Input'!$G$13)/100</f>
        <v>2983523.6555695762</v>
      </c>
      <c r="L115" s="227">
        <f ca="1">'Manufacturing Costs'!L78*(100-'Cost Input'!$G$13)/100</f>
        <v>2983523.6555695762</v>
      </c>
      <c r="M115" s="227">
        <f ca="1">'Manufacturing Costs'!M78*(100-'Cost Input'!$G$13)/100</f>
        <v>2983523.6555695762</v>
      </c>
    </row>
    <row r="116" spans="2:14" x14ac:dyDescent="0.15">
      <c r="B116" s="8" t="s">
        <v>1772</v>
      </c>
      <c r="F116" s="227"/>
      <c r="G116" s="227">
        <f ca="1">'Manufacturing Costs'!G89*('Battery Design'!$E63/1000000)*('Battery Design'!$F63*1000000)*(100-'Cost Input'!$G$14)/100/1000</f>
        <v>1022606.9627540609</v>
      </c>
      <c r="H116" s="227">
        <f ca="1">'Manufacturing Costs'!H89*('Battery Design'!$E63/1000000)*('Battery Design'!$F63*1000000)*(100-'Cost Input'!$G$14)/100/1000</f>
        <v>1022606.9627540609</v>
      </c>
      <c r="I116" s="227">
        <f ca="1">'Manufacturing Costs'!I89*('Battery Design'!$E63/1000000)*('Battery Design'!$F63*1000000)*(100-'Cost Input'!$G$14)/100/1000</f>
        <v>1022606.9627540609</v>
      </c>
      <c r="J116" s="227">
        <f ca="1">'Manufacturing Costs'!J89*('Battery Design'!$E63/1000000)*('Battery Design'!$F63*1000000)*(100-'Cost Input'!$G$14)/100/1000</f>
        <v>1022606.9627540609</v>
      </c>
      <c r="K116" s="227">
        <f ca="1">'Manufacturing Costs'!K89*('Battery Design'!$E63/1000000)*('Battery Design'!$F63*1000000)*(100-'Cost Input'!$G$14)/100/1000</f>
        <v>1022606.9627540609</v>
      </c>
      <c r="L116" s="227">
        <f ca="1">'Manufacturing Costs'!L89*('Battery Design'!$E63/1000000)*('Battery Design'!$F63*1000000)*(100-'Cost Input'!$G$14)/100/1000</f>
        <v>1022606.9627540609</v>
      </c>
      <c r="M116" s="227">
        <f ca="1">'Manufacturing Costs'!M89*('Battery Design'!$E63/1000000)*('Battery Design'!$F63*1000000)*(100-'Cost Input'!$G$14)/100/1000</f>
        <v>1022606.9627540609</v>
      </c>
    </row>
    <row r="117" spans="2:14" x14ac:dyDescent="0.15">
      <c r="B117" s="8" t="s">
        <v>1773</v>
      </c>
      <c r="F117" s="227"/>
      <c r="G117" s="227">
        <f ca="1">'Manufacturing Costs'!G90*('Battery Design'!$E64/1000000)*('Battery Design'!$F64*1000000)*(100-'Cost Input'!$G$15)/100/1000</f>
        <v>2700059.8402522486</v>
      </c>
      <c r="H117" s="227">
        <f ca="1">'Manufacturing Costs'!H90*('Battery Design'!$E64/1000000)*('Battery Design'!$F64*1000000)*(100-'Cost Input'!$G$15)/100/1000</f>
        <v>2700059.8402522486</v>
      </c>
      <c r="I117" s="227">
        <f ca="1">'Manufacturing Costs'!I90*('Battery Design'!$E64/1000000)*('Battery Design'!$F64*1000000)*(100-'Cost Input'!$G$15)/100/1000</f>
        <v>2700059.8402522486</v>
      </c>
      <c r="J117" s="227">
        <f ca="1">'Manufacturing Costs'!J90*('Battery Design'!$E64/1000000)*('Battery Design'!$F64*1000000)*(100-'Cost Input'!$G$15)/100/1000</f>
        <v>2700059.8402522486</v>
      </c>
      <c r="K117" s="227">
        <f ca="1">'Manufacturing Costs'!K90*('Battery Design'!$E64/1000000)*('Battery Design'!$F64*1000000)*(100-'Cost Input'!$G$15)/100/1000</f>
        <v>2700059.8402522486</v>
      </c>
      <c r="L117" s="227">
        <f ca="1">'Manufacturing Costs'!L90*('Battery Design'!$E64/1000000)*('Battery Design'!$F64*1000000)*(100-'Cost Input'!$G$15)/100/1000</f>
        <v>2700059.8402522486</v>
      </c>
      <c r="M117" s="227">
        <f ca="1">'Manufacturing Costs'!M90*('Battery Design'!$E64/1000000)*('Battery Design'!$F64*1000000)*(100-'Cost Input'!$G$15)/100/1000</f>
        <v>2700059.8402522486</v>
      </c>
    </row>
    <row r="118" spans="2:14" x14ac:dyDescent="0.15">
      <c r="B118" s="8" t="s">
        <v>1774</v>
      </c>
      <c r="F118" s="227"/>
      <c r="G118" s="227">
        <f ca="1">'Manufacturing Costs'!G91*('Battery Design'!$E65/1000000)*('Battery Design'!$F65*1000000)*(100-'Cost Input'!$G$16)/100/1000</f>
        <v>19337.792877418768</v>
      </c>
      <c r="H118" s="227">
        <f ca="1">'Manufacturing Costs'!H91*('Battery Design'!$E65/1000000)*('Battery Design'!$F65*1000000)*(100-'Cost Input'!$G$16)/100/1000</f>
        <v>19337.792877418768</v>
      </c>
      <c r="I118" s="227">
        <f ca="1">'Manufacturing Costs'!I91*('Battery Design'!$E65/1000000)*('Battery Design'!$F65*1000000)*(100-'Cost Input'!$G$16)/100/1000</f>
        <v>19337.792877418768</v>
      </c>
      <c r="J118" s="227">
        <f ca="1">'Manufacturing Costs'!J91*('Battery Design'!$E65/1000000)*('Battery Design'!$F65*1000000)*(100-'Cost Input'!$G$16)/100/1000</f>
        <v>19337.792877418768</v>
      </c>
      <c r="K118" s="227">
        <f ca="1">'Manufacturing Costs'!K91*('Battery Design'!$E65/1000000)*('Battery Design'!$F65*1000000)*(100-'Cost Input'!$G$16)/100/1000</f>
        <v>19337.792877418768</v>
      </c>
      <c r="L118" s="227">
        <f ca="1">'Manufacturing Costs'!L91*('Battery Design'!$E65/1000000)*('Battery Design'!$F65*1000000)*(100-'Cost Input'!$G$16)/100/1000</f>
        <v>19337.792877418768</v>
      </c>
      <c r="M118" s="227">
        <f ca="1">'Manufacturing Costs'!M91*('Battery Design'!$E65/1000000)*('Battery Design'!$F65*1000000)*(100-'Cost Input'!$G$16)/100/1000</f>
        <v>19337.792877418768</v>
      </c>
    </row>
    <row r="119" spans="2:14" x14ac:dyDescent="0.15">
      <c r="B119" s="8" t="s">
        <v>1775</v>
      </c>
      <c r="F119" s="227"/>
      <c r="G119" s="227">
        <f ca="1">'Manufacturing Costs'!G92*'Battery Design'!$F$66*(100-'Cost Input'!$G$17)/100</f>
        <v>322435.07370926952</v>
      </c>
      <c r="H119" s="227">
        <f ca="1">'Manufacturing Costs'!H92*'Battery Design'!$F$66*(100-'Cost Input'!$G$17)/100</f>
        <v>322435.07370926952</v>
      </c>
      <c r="I119" s="227">
        <f ca="1">'Manufacturing Costs'!I92*'Battery Design'!$F$66*(100-'Cost Input'!$G$17)/100</f>
        <v>322435.07370926952</v>
      </c>
      <c r="J119" s="227">
        <f ca="1">'Manufacturing Costs'!J92*'Battery Design'!$F$66*(100-'Cost Input'!$G$17)/100</f>
        <v>322435.07370926952</v>
      </c>
      <c r="K119" s="227">
        <f ca="1">'Manufacturing Costs'!K92*'Battery Design'!$F$66*(100-'Cost Input'!$G$17)/100</f>
        <v>322435.07370926952</v>
      </c>
      <c r="L119" s="227">
        <f ca="1">'Manufacturing Costs'!L92*'Battery Design'!$F$66*(100-'Cost Input'!$G$17)/100</f>
        <v>322435.07370926952</v>
      </c>
      <c r="M119" s="227">
        <f ca="1">'Manufacturing Costs'!M92*'Battery Design'!$F$66*(100-'Cost Input'!$G$17)/100</f>
        <v>322435.07370926952</v>
      </c>
    </row>
    <row r="121" spans="2:14" ht="14" x14ac:dyDescent="0.15">
      <c r="B121" s="507" t="s">
        <v>1776</v>
      </c>
    </row>
    <row r="122" spans="2:14" x14ac:dyDescent="0.15">
      <c r="B122" s="225" t="s">
        <v>2428</v>
      </c>
    </row>
    <row r="123" spans="2:14" x14ac:dyDescent="0.15">
      <c r="B123" s="8" t="s">
        <v>1777</v>
      </c>
      <c r="G123" s="227">
        <f ca="1">G109*((G33+G36)*(100-'Cost Input'!$G$12)/'Cost Input'!$G$12+(G34+G37)*(100-'Cost Input'!$G$13)/'Cost Input'!$G$13+(G35+G38)*(100-'Cost Input'!$G$17)/'Cost Input'!$G$17)/1000</f>
        <v>346608.51821317116</v>
      </c>
      <c r="H123" s="227">
        <f ca="1">H109*((H33+H36)*(100-'Cost Input'!$G$12)/'Cost Input'!$G$12+(H34+H37)*(100-'Cost Input'!$G$13)/'Cost Input'!$G$13+(H35+H38)*(100-'Cost Input'!$G$17)/'Cost Input'!$G$17)/1000</f>
        <v>346608.51821317116</v>
      </c>
      <c r="I123" s="227">
        <f ca="1">I109*((I33+I36)*(100-'Cost Input'!$G$12)/'Cost Input'!$G$12+(I34+I37)*(100-'Cost Input'!$G$13)/'Cost Input'!$G$13+(I35+I38)*(100-'Cost Input'!$G$17)/'Cost Input'!$G$17)/1000</f>
        <v>346608.51821317116</v>
      </c>
      <c r="J123" s="227">
        <f ca="1">J109*((J33+J36)*(100-'Cost Input'!$G$12)/'Cost Input'!$G$12+(J34+J37)*(100-'Cost Input'!$G$13)/'Cost Input'!$G$13+(J35+J38)*(100-'Cost Input'!$G$17)/'Cost Input'!$G$17)/1000</f>
        <v>346608.51821317116</v>
      </c>
      <c r="K123" s="227">
        <f ca="1">K109*((K33+K36)*(100-'Cost Input'!$G$12)/'Cost Input'!$G$12+(K34+K37)*(100-'Cost Input'!$G$13)/'Cost Input'!$G$13+(K35+K38)*(100-'Cost Input'!$G$17)/'Cost Input'!$G$17)/1000</f>
        <v>346608.51821317116</v>
      </c>
      <c r="L123" s="227">
        <f ca="1">L109*((L33+L36)*(100-'Cost Input'!$G$12)/'Cost Input'!$G$12+(L34+L37)*(100-'Cost Input'!$G$13)/'Cost Input'!$G$13+(L35+L38)*(100-'Cost Input'!$G$17)/'Cost Input'!$G$17)/1000</f>
        <v>346608.51821317116</v>
      </c>
      <c r="M123" s="227">
        <f ca="1">M109*((M33+M36)*(100-'Cost Input'!$G$12)/'Cost Input'!$G$12+(M34+M37)*(100-'Cost Input'!$G$13)/'Cost Input'!$G$13+(M35+M38)*(100-'Cost Input'!$G$17)/'Cost Input'!$G$17)/1000</f>
        <v>346608.51821317116</v>
      </c>
    </row>
    <row r="124" spans="2:14" x14ac:dyDescent="0.15">
      <c r="B124" s="8" t="str">
        <f>C15 &amp; ", kg/yr"</f>
        <v>Ni, kg/yr</v>
      </c>
      <c r="G124" s="227">
        <f ca="1">G109*(G44*(100-'Cost Input'!$G$12)/'Cost Input'!$G$12+G45*(100-'Cost Input'!$G$13)/'Cost Input'!$G$13)/1000</f>
        <v>1457102.2722237904</v>
      </c>
      <c r="H124" s="227">
        <f ca="1">H109*(H44*(100-'Cost Input'!$G$12)/'Cost Input'!$G$12+H45*(100-'Cost Input'!$G$13)/'Cost Input'!$G$13)/1000</f>
        <v>1457102.2722237904</v>
      </c>
      <c r="I124" s="227">
        <f ca="1">I109*(I44*(100-'Cost Input'!$G$12)/'Cost Input'!$G$12+I45*(100-'Cost Input'!$G$13)/'Cost Input'!$G$13)/1000</f>
        <v>1457102.2722237904</v>
      </c>
      <c r="J124" s="227">
        <f ca="1">J109*(J44*(100-'Cost Input'!$G$12)/'Cost Input'!$G$12+J45*(100-'Cost Input'!$G$13)/'Cost Input'!$G$13)/1000</f>
        <v>1457102.2722237904</v>
      </c>
      <c r="K124" s="227">
        <f ca="1">K109*(K44*(100-'Cost Input'!$G$12)/'Cost Input'!$G$12+K45*(100-'Cost Input'!$G$13)/'Cost Input'!$G$13)/1000</f>
        <v>1457102.2722237904</v>
      </c>
      <c r="L124" s="227">
        <f ca="1">L109*(L44*(100-'Cost Input'!$G$12)/'Cost Input'!$G$12+L45*(100-'Cost Input'!$G$13)/'Cost Input'!$G$13)/1000</f>
        <v>1457102.2722237904</v>
      </c>
      <c r="M124" s="227">
        <f ca="1">M109*(M44*(100-'Cost Input'!$G$12)/'Cost Input'!$G$12+M45*(100-'Cost Input'!$G$13)/'Cost Input'!$G$13)/1000</f>
        <v>1457102.2722237904</v>
      </c>
    </row>
    <row r="125" spans="2:14" x14ac:dyDescent="0.15">
      <c r="B125" s="8" t="str">
        <f>D15 &amp; ", kg/yr"</f>
        <v>Co, kg/yr</v>
      </c>
      <c r="G125" s="227">
        <f ca="1">G109*(G51*(100-'Cost Input'!$G$12)/'Cost Input'!$G$12+G52*(100-'Cost Input'!$G$13)/'Cost Input'!$G$13)/1000</f>
        <v>585024.94908634259</v>
      </c>
      <c r="H125" s="227">
        <f ca="1">H109*(H51*(100-'Cost Input'!$G$12)/'Cost Input'!$G$12+H52*(100-'Cost Input'!$G$13)/'Cost Input'!$G$13)/1000</f>
        <v>585024.94908634259</v>
      </c>
      <c r="I125" s="227">
        <f ca="1">I109*(I51*(100-'Cost Input'!$G$12)/'Cost Input'!$G$12+I52*(100-'Cost Input'!$G$13)/'Cost Input'!$G$13)/1000</f>
        <v>585024.94908634259</v>
      </c>
      <c r="J125" s="227">
        <f ca="1">J109*(J51*(100-'Cost Input'!$G$12)/'Cost Input'!$G$12+J52*(100-'Cost Input'!$G$13)/'Cost Input'!$G$13)/1000</f>
        <v>585024.94908634259</v>
      </c>
      <c r="K125" s="227">
        <f ca="1">K109*(K51*(100-'Cost Input'!$G$12)/'Cost Input'!$G$12+K52*(100-'Cost Input'!$G$13)/'Cost Input'!$G$13)/1000</f>
        <v>585024.94908634259</v>
      </c>
      <c r="L125" s="227">
        <f ca="1">L109*(L51*(100-'Cost Input'!$G$12)/'Cost Input'!$G$12+L52*(100-'Cost Input'!$G$13)/'Cost Input'!$G$13)/1000</f>
        <v>585024.94908634259</v>
      </c>
      <c r="M125" s="227">
        <f ca="1">M109*(M51*(100-'Cost Input'!$G$12)/'Cost Input'!$G$12+M52*(100-'Cost Input'!$G$13)/'Cost Input'!$G$13)/1000</f>
        <v>585024.94908634259</v>
      </c>
    </row>
    <row r="126" spans="2:14" x14ac:dyDescent="0.15">
      <c r="B126" s="8" t="str">
        <f>E15 &amp; ", kg/yr"</f>
        <v>Mn, kg/yr</v>
      </c>
      <c r="G126" s="227">
        <f ca="1">G109*(G58*(100-'Cost Input'!$G$12)/'Cost Input'!$G$12+G59*(100-'Cost Input'!$G$13)/'Cost Input'!$G$13)/1000</f>
        <v>818121.60282038874</v>
      </c>
      <c r="H126" s="227">
        <f ca="1">H109*(H58*(100-'Cost Input'!$G$12)/'Cost Input'!$G$12+H59*(100-'Cost Input'!$G$13)/'Cost Input'!$G$13)/1000</f>
        <v>818121.60282038874</v>
      </c>
      <c r="I126" s="227">
        <f ca="1">I109*(I58*(100-'Cost Input'!$G$12)/'Cost Input'!$G$12+I59*(100-'Cost Input'!$G$13)/'Cost Input'!$G$13)/1000</f>
        <v>818121.60282038874</v>
      </c>
      <c r="J126" s="227">
        <f ca="1">J109*(J58*(100-'Cost Input'!$G$12)/'Cost Input'!$G$12+J59*(100-'Cost Input'!$G$13)/'Cost Input'!$G$13)/1000</f>
        <v>818121.60282038874</v>
      </c>
      <c r="K126" s="227">
        <f ca="1">K109*(K58*(100-'Cost Input'!$G$12)/'Cost Input'!$G$12+K59*(100-'Cost Input'!$G$13)/'Cost Input'!$G$13)/1000</f>
        <v>818121.60282038874</v>
      </c>
      <c r="L126" s="227">
        <f ca="1">L109*(L58*(100-'Cost Input'!$G$12)/'Cost Input'!$G$12+L59*(100-'Cost Input'!$G$13)/'Cost Input'!$G$13)/1000</f>
        <v>818121.60282038874</v>
      </c>
      <c r="M126" s="227">
        <f ca="1">M109*(M58*(100-'Cost Input'!$G$12)/'Cost Input'!$G$12+M59*(100-'Cost Input'!$G$13)/'Cost Input'!$G$13)/1000</f>
        <v>818121.60282038874</v>
      </c>
    </row>
    <row r="127" spans="2:14" x14ac:dyDescent="0.15">
      <c r="B127" s="8" t="str">
        <f>F15 &amp; ", kg/yr"</f>
        <v>C, kg/yr</v>
      </c>
      <c r="G127" s="227">
        <f ca="1">G109*(G65*(100-'Cost Input'!$G$12)/'Cost Input'!$G$12+G66*(100-'Cost Input'!$G$13)/'Cost Input'!$G$13)/1000</f>
        <v>2834347.4727910971</v>
      </c>
      <c r="H127" s="227">
        <f ca="1">H109*(H65*(100-'Cost Input'!$G$12)/'Cost Input'!$G$12+H66*(100-'Cost Input'!$G$13)/'Cost Input'!$G$13)/1000</f>
        <v>2834347.4727910971</v>
      </c>
      <c r="I127" s="227">
        <f ca="1">I109*(I65*(100-'Cost Input'!$G$12)/'Cost Input'!$G$12+I66*(100-'Cost Input'!$G$13)/'Cost Input'!$G$13)/1000</f>
        <v>2834347.4727910971</v>
      </c>
      <c r="J127" s="227">
        <f ca="1">J109*(J65*(100-'Cost Input'!$G$12)/'Cost Input'!$G$12+J66*(100-'Cost Input'!$G$13)/'Cost Input'!$G$13)/1000</f>
        <v>2834347.4727910971</v>
      </c>
      <c r="K127" s="227">
        <f ca="1">K109*(K65*(100-'Cost Input'!$G$12)/'Cost Input'!$G$12+K66*(100-'Cost Input'!$G$13)/'Cost Input'!$G$13)/1000</f>
        <v>2834347.4727910971</v>
      </c>
      <c r="L127" s="227">
        <f ca="1">L109*(L65*(100-'Cost Input'!$G$12)/'Cost Input'!$G$12+L66*(100-'Cost Input'!$G$13)/'Cost Input'!$G$13)/1000</f>
        <v>2834347.4727910971</v>
      </c>
      <c r="M127" s="227">
        <f ca="1">M109*(M65*(100-'Cost Input'!$G$12)/'Cost Input'!$G$12+M66*(100-'Cost Input'!$G$13)/'Cost Input'!$G$13)/1000</f>
        <v>2834347.4727910971</v>
      </c>
    </row>
    <row r="128" spans="2:14" x14ac:dyDescent="0.15">
      <c r="B128" s="8"/>
      <c r="G128" s="227"/>
      <c r="H128" s="227"/>
      <c r="I128" s="227"/>
      <c r="J128" s="227"/>
      <c r="K128" s="227"/>
      <c r="L128" s="227"/>
      <c r="M128" s="227"/>
    </row>
    <row r="129" spans="2:14" x14ac:dyDescent="0.15">
      <c r="B129" s="225" t="s">
        <v>1778</v>
      </c>
      <c r="G129" s="227"/>
      <c r="H129" s="227"/>
      <c r="I129" s="227"/>
      <c r="J129" s="227"/>
      <c r="K129" s="227"/>
      <c r="L129" s="227"/>
      <c r="M129" s="227"/>
    </row>
    <row r="130" spans="2:14" x14ac:dyDescent="0.15">
      <c r="B130" s="8" t="s">
        <v>1779</v>
      </c>
      <c r="C130" s="8"/>
      <c r="D130" s="8"/>
      <c r="E130" s="8"/>
      <c r="F130" s="8"/>
      <c r="G130" s="227">
        <f ca="1">G109*G73/G10*(100-'Cost Input'!$G$14)/'Cost Input'!$G$14</f>
        <v>971476.61461635784</v>
      </c>
      <c r="H130" s="227">
        <f ca="1">H109*H73/H10*(100-'Cost Input'!$G$14)/'Cost Input'!$G$14</f>
        <v>971476.61461635784</v>
      </c>
      <c r="I130" s="227">
        <f ca="1">I109*I73/I10*(100-'Cost Input'!$G$14)/'Cost Input'!$G$14</f>
        <v>971476.61461635784</v>
      </c>
      <c r="J130" s="227">
        <f ca="1">J109*J73/J10*(100-'Cost Input'!$G$14)/'Cost Input'!$G$14</f>
        <v>971476.61461635784</v>
      </c>
      <c r="K130" s="227">
        <f ca="1">K109*K73/K10*(100-'Cost Input'!$G$14)/'Cost Input'!$G$14</f>
        <v>971476.61461635784</v>
      </c>
      <c r="L130" s="227">
        <f ca="1">L109*L73/L10*(100-'Cost Input'!$G$14)/'Cost Input'!$G$14</f>
        <v>971476.61461635784</v>
      </c>
      <c r="M130" s="227">
        <f ca="1">M109*M73/M10*(100-'Cost Input'!$G$14)/'Cost Input'!$G$14</f>
        <v>971476.61461635784</v>
      </c>
      <c r="N130" s="562"/>
    </row>
    <row r="131" spans="2:14" x14ac:dyDescent="0.15">
      <c r="B131" s="8" t="s">
        <v>1780</v>
      </c>
      <c r="C131" s="8"/>
      <c r="D131" s="8"/>
      <c r="E131" s="8"/>
      <c r="F131" s="8"/>
      <c r="G131" s="227">
        <f ca="1">G109*G81/G10*(100-'Cost Input'!$G$14)/'Cost Input'!$G$14</f>
        <v>2565056.848239636</v>
      </c>
      <c r="H131" s="227">
        <f ca="1">H109*H81/H10*(100-'Cost Input'!$G$14)/'Cost Input'!$G$14</f>
        <v>2565056.848239636</v>
      </c>
      <c r="I131" s="227">
        <f ca="1">I109*I81/I10*(100-'Cost Input'!$G$14)/'Cost Input'!$G$14</f>
        <v>2565056.848239636</v>
      </c>
      <c r="J131" s="227">
        <f ca="1">J109*J81/J10*(100-'Cost Input'!$G$14)/'Cost Input'!$G$14</f>
        <v>2565056.848239636</v>
      </c>
      <c r="K131" s="227">
        <f ca="1">K109*K81/K10*(100-'Cost Input'!$G$14)/'Cost Input'!$G$14</f>
        <v>2565056.848239636</v>
      </c>
      <c r="L131" s="227">
        <f ca="1">L109*L81/L10*(100-'Cost Input'!$G$14)/'Cost Input'!$G$14</f>
        <v>2565056.848239636</v>
      </c>
      <c r="M131" s="227">
        <f ca="1">M109*M81/M10*(100-'Cost Input'!$G$14)/'Cost Input'!$G$14</f>
        <v>2565056.848239636</v>
      </c>
      <c r="N131" s="562"/>
    </row>
    <row r="132" spans="2:14" x14ac:dyDescent="0.15">
      <c r="B132" s="8"/>
      <c r="C132" s="8"/>
      <c r="D132" s="8"/>
      <c r="E132" s="8"/>
      <c r="F132" s="227"/>
      <c r="G132" s="501"/>
      <c r="H132" s="501"/>
      <c r="I132" s="501"/>
      <c r="J132" s="501"/>
      <c r="K132" s="501"/>
      <c r="L132" s="501"/>
      <c r="M132" s="501"/>
    </row>
    <row r="133" spans="2:14" ht="16" x14ac:dyDescent="0.2">
      <c r="B133" s="5" t="s">
        <v>1781</v>
      </c>
      <c r="C133" s="8"/>
      <c r="D133" s="8"/>
      <c r="E133" s="8"/>
      <c r="F133" s="227"/>
      <c r="G133" s="120"/>
      <c r="H133" s="8"/>
      <c r="I133" s="8"/>
      <c r="J133" s="8"/>
      <c r="K133" s="8"/>
      <c r="L133" s="8"/>
      <c r="M133" s="8"/>
    </row>
    <row r="134" spans="2:14" ht="14" x14ac:dyDescent="0.15">
      <c r="B134" s="507" t="s">
        <v>1771</v>
      </c>
    </row>
    <row r="135" spans="2:14" x14ac:dyDescent="0.15">
      <c r="B135" s="8" t="s">
        <v>2423</v>
      </c>
      <c r="C135" s="8"/>
      <c r="D135" s="8"/>
      <c r="E135" s="8"/>
      <c r="F135" s="8"/>
      <c r="G135" s="227">
        <f ca="1">G110*'Battery Design'!G44/1000</f>
        <v>3822313.6091704224</v>
      </c>
      <c r="H135" s="227">
        <f ca="1">H110*'Battery Design'!H44/1000</f>
        <v>3822313.6091704224</v>
      </c>
      <c r="I135" s="227">
        <f ca="1">I110*'Battery Design'!I44/1000</f>
        <v>3822313.6091704224</v>
      </c>
      <c r="J135" s="227">
        <f ca="1">J110*'Battery Design'!J44/1000</f>
        <v>3822313.6091704224</v>
      </c>
      <c r="K135" s="227">
        <f ca="1">K110*'Battery Design'!K44/1000</f>
        <v>3822313.6091704224</v>
      </c>
      <c r="L135" s="227">
        <f ca="1">L110*'Battery Design'!L44/1000</f>
        <v>3822313.6091704224</v>
      </c>
      <c r="M135" s="227">
        <f ca="1">M110*'Battery Design'!M44/1000</f>
        <v>3822313.6091704224</v>
      </c>
    </row>
    <row r="136" spans="2:14" x14ac:dyDescent="0.15">
      <c r="B136" s="8" t="s">
        <v>2424</v>
      </c>
      <c r="C136" s="8"/>
      <c r="D136" s="8"/>
      <c r="E136" s="8"/>
      <c r="F136" s="8"/>
      <c r="G136" s="227">
        <f ca="1">G110*'Battery Design'!G51/1000</f>
        <v>2260272.0100817052</v>
      </c>
      <c r="H136" s="227">
        <f ca="1">H110*'Battery Design'!H51/1000</f>
        <v>2260272.0100817052</v>
      </c>
      <c r="I136" s="227">
        <f ca="1">I110*'Battery Design'!I51/1000</f>
        <v>2260272.0100817052</v>
      </c>
      <c r="J136" s="227">
        <f ca="1">J110*'Battery Design'!J51/1000</f>
        <v>2260272.0100817052</v>
      </c>
      <c r="K136" s="227">
        <f ca="1">K110*'Battery Design'!K51/1000</f>
        <v>2260272.0100817052</v>
      </c>
      <c r="L136" s="227">
        <f ca="1">L110*'Battery Design'!L51/1000</f>
        <v>2260272.0100817052</v>
      </c>
      <c r="M136" s="227">
        <f ca="1">M110*'Battery Design'!M51/1000</f>
        <v>2260272.0100817052</v>
      </c>
    </row>
    <row r="137" spans="2:14" x14ac:dyDescent="0.15">
      <c r="B137" s="8" t="s">
        <v>1772</v>
      </c>
      <c r="C137" s="8"/>
      <c r="D137" s="8"/>
      <c r="E137" s="8"/>
      <c r="F137" s="8"/>
      <c r="G137" s="227">
        <f ca="1">G110*'Battery Design'!G63*('Battery Design'!$E63/1000000)*('Battery Design'!$F63*1000000)/1000</f>
        <v>366587.11568642803</v>
      </c>
      <c r="H137" s="227">
        <f ca="1">H110*'Battery Design'!H63*('Battery Design'!$E63/1000000)*('Battery Design'!$F63*1000000)/1000</f>
        <v>366587.11568642803</v>
      </c>
      <c r="I137" s="227">
        <f ca="1">I110*'Battery Design'!I63*('Battery Design'!$E63/1000000)*('Battery Design'!$F63*1000000)/1000</f>
        <v>366587.11568642803</v>
      </c>
      <c r="J137" s="227">
        <f ca="1">J110*'Battery Design'!J63*('Battery Design'!$E63/1000000)*('Battery Design'!$F63*1000000)/1000</f>
        <v>366587.11568642803</v>
      </c>
      <c r="K137" s="227">
        <f ca="1">K110*'Battery Design'!K63*('Battery Design'!$E63/1000000)*('Battery Design'!$F63*1000000)/1000</f>
        <v>366587.11568642803</v>
      </c>
      <c r="L137" s="227">
        <f ca="1">L110*'Battery Design'!L63*('Battery Design'!$E63/1000000)*('Battery Design'!$F63*1000000)/1000</f>
        <v>366587.11568642803</v>
      </c>
      <c r="M137" s="227">
        <f ca="1">M110*'Battery Design'!M63*('Battery Design'!$E63/1000000)*('Battery Design'!$F63*1000000)/1000</f>
        <v>366587.11568642803</v>
      </c>
    </row>
    <row r="138" spans="2:14" x14ac:dyDescent="0.15">
      <c r="B138" s="8" t="s">
        <v>1773</v>
      </c>
      <c r="C138" s="8"/>
      <c r="D138" s="8"/>
      <c r="E138" s="8"/>
      <c r="F138" s="8"/>
      <c r="G138" s="227">
        <f ca="1">G110*'Battery Design'!G64*('Battery Design'!$E64/1000000)*('Battery Design'!$F64*1000000)/1000</f>
        <v>967925.29786136397</v>
      </c>
      <c r="H138" s="227">
        <f ca="1">H110*'Battery Design'!H64*('Battery Design'!$E64/1000000)*('Battery Design'!$F64*1000000)/1000</f>
        <v>967925.29786136397</v>
      </c>
      <c r="I138" s="227">
        <f ca="1">I110*'Battery Design'!I64*('Battery Design'!$E64/1000000)*('Battery Design'!$F64*1000000)/1000</f>
        <v>967925.29786136397</v>
      </c>
      <c r="J138" s="227">
        <f ca="1">J110*'Battery Design'!J64*('Battery Design'!$E64/1000000)*('Battery Design'!$F64*1000000)/1000</f>
        <v>967925.29786136397</v>
      </c>
      <c r="K138" s="227">
        <f ca="1">K110*'Battery Design'!K64*('Battery Design'!$E64/1000000)*('Battery Design'!$F64*1000000)/1000</f>
        <v>967925.29786136397</v>
      </c>
      <c r="L138" s="227">
        <f ca="1">L110*'Battery Design'!L64*('Battery Design'!$E64/1000000)*('Battery Design'!$F64*1000000)/1000</f>
        <v>967925.29786136397</v>
      </c>
      <c r="M138" s="227">
        <f ca="1">M110*'Battery Design'!M64*('Battery Design'!$E64/1000000)*('Battery Design'!$F64*1000000)/1000</f>
        <v>967925.29786136397</v>
      </c>
    </row>
    <row r="139" spans="2:14" x14ac:dyDescent="0.15">
      <c r="B139" s="8" t="s">
        <v>1782</v>
      </c>
      <c r="C139" s="8"/>
      <c r="D139" s="8"/>
      <c r="E139" s="8"/>
      <c r="F139" s="8"/>
      <c r="G139" s="227">
        <f ca="1">'Battery Design'!G73/1000*G110</f>
        <v>66934.437067459992</v>
      </c>
      <c r="H139" s="227">
        <f ca="1">'Battery Design'!H73/1000*H110</f>
        <v>66934.437067459992</v>
      </c>
      <c r="I139" s="227">
        <f ca="1">'Battery Design'!I73/1000*I110</f>
        <v>66934.437067459992</v>
      </c>
      <c r="J139" s="227">
        <f ca="1">'Battery Design'!J73/1000*J110</f>
        <v>66934.437067459992</v>
      </c>
      <c r="K139" s="227">
        <f ca="1">'Battery Design'!K73/1000*K110</f>
        <v>66934.437067459992</v>
      </c>
      <c r="L139" s="227">
        <f ca="1">'Battery Design'!L73/1000*L110</f>
        <v>66934.437067459992</v>
      </c>
      <c r="M139" s="227">
        <f ca="1">'Battery Design'!M73/1000*M110</f>
        <v>66934.437067459992</v>
      </c>
    </row>
    <row r="140" spans="2:14" x14ac:dyDescent="0.15">
      <c r="B140" s="8" t="s">
        <v>1783</v>
      </c>
      <c r="C140" s="8"/>
      <c r="D140" s="8"/>
      <c r="E140" s="8"/>
      <c r="F140" s="8"/>
      <c r="G140" s="227">
        <f ca="1">'Battery Design'!G74/1000*G135</f>
        <v>53771.546063707974</v>
      </c>
      <c r="H140" s="227">
        <f ca="1">'Battery Design'!H74/1000*H135</f>
        <v>53771.546063707974</v>
      </c>
      <c r="I140" s="227">
        <f ca="1">'Battery Design'!I74/1000*I135</f>
        <v>53771.546063707974</v>
      </c>
      <c r="J140" s="227">
        <f ca="1">'Battery Design'!J74/1000*J135</f>
        <v>53771.546063707974</v>
      </c>
      <c r="K140" s="227">
        <f ca="1">'Battery Design'!K74/1000*K135</f>
        <v>53771.546063707974</v>
      </c>
      <c r="L140" s="227">
        <f ca="1">'Battery Design'!L74/1000*L135</f>
        <v>53771.546063707974</v>
      </c>
      <c r="M140" s="227">
        <f ca="1">'Battery Design'!M74/1000*M135</f>
        <v>53771.546063707974</v>
      </c>
    </row>
    <row r="141" spans="2:14" x14ac:dyDescent="0.15">
      <c r="B141" s="8" t="s">
        <v>1774</v>
      </c>
      <c r="C141" s="8"/>
      <c r="D141" s="8"/>
      <c r="E141" s="8"/>
      <c r="F141" s="8"/>
      <c r="G141" s="227">
        <f ca="1">G110*'Battery Design'!G65*('Battery Design'!$E65/1000000)*('Battery Design'!$F65*1000000)/1000</f>
        <v>90935.971006061489</v>
      </c>
      <c r="H141" s="227">
        <f ca="1">H110*'Battery Design'!H65*('Battery Design'!$E65/1000000)*('Battery Design'!$F65*1000000)/1000</f>
        <v>90935.971006061489</v>
      </c>
      <c r="I141" s="227">
        <f ca="1">I110*'Battery Design'!I65*('Battery Design'!$E65/1000000)*('Battery Design'!$F65*1000000)/1000</f>
        <v>90935.971006061489</v>
      </c>
      <c r="J141" s="227">
        <f ca="1">J110*'Battery Design'!J65*('Battery Design'!$E65/1000000)*('Battery Design'!$F65*1000000)/1000</f>
        <v>90935.971006061489</v>
      </c>
      <c r="K141" s="227">
        <f ca="1">K110*'Battery Design'!K65*('Battery Design'!$E65/1000000)*('Battery Design'!$F65*1000000)/1000</f>
        <v>90935.971006061489</v>
      </c>
      <c r="L141" s="227">
        <f ca="1">L110*'Battery Design'!L65*('Battery Design'!$E65/1000000)*('Battery Design'!$F65*1000000)/1000</f>
        <v>90935.971006061489</v>
      </c>
      <c r="M141" s="227">
        <f ca="1">M110*'Battery Design'!M65*('Battery Design'!$E65/1000000)*('Battery Design'!$F65*1000000)/1000</f>
        <v>90935.971006061489</v>
      </c>
    </row>
    <row r="142" spans="2:14" x14ac:dyDescent="0.15">
      <c r="B142" s="8" t="s">
        <v>1775</v>
      </c>
      <c r="C142" s="8"/>
      <c r="D142" s="8"/>
      <c r="E142" s="8"/>
      <c r="F142" s="8"/>
      <c r="G142" s="227">
        <f ca="1">G110*'Battery Design'!$F66*'Battery Design'!G66</f>
        <v>1516250.9341178359</v>
      </c>
      <c r="H142" s="227">
        <f ca="1">H110*'Battery Design'!$F66*'Battery Design'!H66</f>
        <v>1516250.9341178359</v>
      </c>
      <c r="I142" s="227">
        <f ca="1">I110*'Battery Design'!$F66*'Battery Design'!I66</f>
        <v>1516250.9341178359</v>
      </c>
      <c r="J142" s="227">
        <f ca="1">J110*'Battery Design'!$F66*'Battery Design'!J66</f>
        <v>1516250.9341178359</v>
      </c>
      <c r="K142" s="227">
        <f ca="1">K110*'Battery Design'!$F66*'Battery Design'!K66</f>
        <v>1516250.9341178359</v>
      </c>
      <c r="L142" s="227">
        <f ca="1">L110*'Battery Design'!$F66*'Battery Design'!L66</f>
        <v>1516250.9341178359</v>
      </c>
      <c r="M142" s="227">
        <f ca="1">M110*'Battery Design'!$F66*'Battery Design'!M66</f>
        <v>1516250.9341178359</v>
      </c>
    </row>
    <row r="143" spans="2:14" x14ac:dyDescent="0.15">
      <c r="B143" s="8" t="s">
        <v>1784</v>
      </c>
      <c r="C143" s="8"/>
      <c r="D143" s="8"/>
      <c r="E143" s="8"/>
      <c r="F143" s="8"/>
      <c r="G143" s="227">
        <f ca="1">G110*'Battery Design'!G81/1000</f>
        <v>209650.35404590136</v>
      </c>
      <c r="H143" s="227">
        <f ca="1">H110*'Battery Design'!H81/1000</f>
        <v>209650.35404590136</v>
      </c>
      <c r="I143" s="227">
        <f ca="1">I110*'Battery Design'!I81/1000</f>
        <v>209650.35404590136</v>
      </c>
      <c r="J143" s="227">
        <f ca="1">J110*'Battery Design'!J81/1000</f>
        <v>209650.35404590136</v>
      </c>
      <c r="K143" s="227">
        <f ca="1">K110*'Battery Design'!K81/1000</f>
        <v>209650.35404590136</v>
      </c>
      <c r="L143" s="227">
        <f ca="1">L110*'Battery Design'!L81/1000</f>
        <v>209650.35404590136</v>
      </c>
      <c r="M143" s="227">
        <f ca="1">M110*'Battery Design'!M81/1000</f>
        <v>209650.35404590136</v>
      </c>
    </row>
    <row r="144" spans="2:14" x14ac:dyDescent="0.15">
      <c r="B144" s="8"/>
      <c r="C144" s="8"/>
      <c r="D144" s="8"/>
      <c r="E144" s="8"/>
      <c r="F144" s="8"/>
      <c r="G144" s="8"/>
      <c r="H144" s="8"/>
      <c r="I144" s="8"/>
      <c r="J144" s="8"/>
      <c r="K144" s="8"/>
      <c r="L144" s="8"/>
      <c r="M144" s="8"/>
    </row>
    <row r="145" spans="2:13" ht="14" x14ac:dyDescent="0.15">
      <c r="B145" s="507" t="s">
        <v>1785</v>
      </c>
      <c r="C145" s="8"/>
      <c r="D145" s="8"/>
      <c r="E145" s="8"/>
      <c r="F145" s="227"/>
      <c r="G145" s="120"/>
      <c r="H145" s="8"/>
      <c r="I145" s="8"/>
      <c r="J145" s="8"/>
      <c r="K145" s="8"/>
      <c r="L145" s="8"/>
      <c r="M145" s="8"/>
    </row>
    <row r="146" spans="2:13" x14ac:dyDescent="0.15">
      <c r="B146" s="225" t="s">
        <v>2428</v>
      </c>
      <c r="C146" s="8"/>
      <c r="D146" s="8"/>
      <c r="E146" s="8"/>
      <c r="F146" s="227"/>
      <c r="G146" s="120"/>
      <c r="H146" s="8"/>
      <c r="I146" s="8"/>
      <c r="J146" s="8"/>
      <c r="K146" s="8"/>
      <c r="L146" s="8"/>
      <c r="M146" s="8"/>
    </row>
    <row r="147" spans="2:13" x14ac:dyDescent="0.15">
      <c r="B147" s="8" t="s">
        <v>1777</v>
      </c>
      <c r="C147" s="8"/>
      <c r="D147" s="8"/>
      <c r="E147" s="8"/>
      <c r="F147" s="227"/>
      <c r="G147" s="501">
        <f ca="1">G39*G110/1000</f>
        <v>285233.14101637481</v>
      </c>
      <c r="H147" s="501">
        <f t="shared" ref="H147:M147" ca="1" si="20">H39*H110/1000</f>
        <v>285233.14101637481</v>
      </c>
      <c r="I147" s="501">
        <f t="shared" ca="1" si="20"/>
        <v>285233.14101637481</v>
      </c>
      <c r="J147" s="501">
        <f t="shared" ca="1" si="20"/>
        <v>285233.14101637481</v>
      </c>
      <c r="K147" s="501">
        <f t="shared" ca="1" si="20"/>
        <v>285233.14101637481</v>
      </c>
      <c r="L147" s="501">
        <f t="shared" ca="1" si="20"/>
        <v>285233.14101637481</v>
      </c>
      <c r="M147" s="501">
        <f t="shared" ca="1" si="20"/>
        <v>285233.14101637481</v>
      </c>
    </row>
    <row r="148" spans="2:13" x14ac:dyDescent="0.15">
      <c r="B148" s="8" t="str">
        <f>C15 &amp; ", kg/yr"</f>
        <v>Ni, kg/yr</v>
      </c>
      <c r="C148" s="8"/>
      <c r="D148" s="8"/>
      <c r="E148" s="8"/>
      <c r="F148" s="227"/>
      <c r="G148" s="501">
        <f t="shared" ref="G148:M148" ca="1" si="21">G46*G110/1000</f>
        <v>1161977.3204767639</v>
      </c>
      <c r="H148" s="501">
        <f t="shared" ca="1" si="21"/>
        <v>1161977.3204767639</v>
      </c>
      <c r="I148" s="501">
        <f t="shared" ca="1" si="21"/>
        <v>1161977.3204767639</v>
      </c>
      <c r="J148" s="501">
        <f t="shared" ca="1" si="21"/>
        <v>1161977.3204767639</v>
      </c>
      <c r="K148" s="501">
        <f t="shared" ca="1" si="21"/>
        <v>1161977.3204767639</v>
      </c>
      <c r="L148" s="501">
        <f t="shared" ca="1" si="21"/>
        <v>1161977.3204767639</v>
      </c>
      <c r="M148" s="501">
        <f t="shared" ca="1" si="21"/>
        <v>1161977.3204767639</v>
      </c>
    </row>
    <row r="149" spans="2:13" x14ac:dyDescent="0.15">
      <c r="B149" s="8" t="str">
        <f>D15 &amp; ", kg/yr"</f>
        <v>Co, kg/yr</v>
      </c>
      <c r="C149" s="8"/>
      <c r="D149" s="8"/>
      <c r="E149" s="8"/>
      <c r="F149" s="227"/>
      <c r="G149" s="501">
        <f t="shared" ref="G149:M149" ca="1" si="22">G53*G110/1000</f>
        <v>466532.60770359862</v>
      </c>
      <c r="H149" s="501">
        <f t="shared" ca="1" si="22"/>
        <v>466532.60770359862</v>
      </c>
      <c r="I149" s="501">
        <f t="shared" ca="1" si="22"/>
        <v>466532.60770359862</v>
      </c>
      <c r="J149" s="501">
        <f t="shared" ca="1" si="22"/>
        <v>466532.60770359862</v>
      </c>
      <c r="K149" s="501">
        <f t="shared" ca="1" si="22"/>
        <v>466532.60770359862</v>
      </c>
      <c r="L149" s="501">
        <f t="shared" ca="1" si="22"/>
        <v>466532.60770359862</v>
      </c>
      <c r="M149" s="501">
        <f t="shared" ca="1" si="22"/>
        <v>466532.60770359862</v>
      </c>
    </row>
    <row r="150" spans="2:13" x14ac:dyDescent="0.15">
      <c r="B150" s="8" t="str">
        <f>E15 &amp; ", kg/yr"</f>
        <v>Mn, kg/yr</v>
      </c>
      <c r="C150" s="8"/>
      <c r="D150" s="8"/>
      <c r="E150" s="8"/>
      <c r="F150" s="227"/>
      <c r="G150" s="501">
        <f t="shared" ref="G150:M150" ca="1" si="23">G60*G110/1000</f>
        <v>652417.31207964651</v>
      </c>
      <c r="H150" s="501">
        <f t="shared" ca="1" si="23"/>
        <v>652417.31207964651</v>
      </c>
      <c r="I150" s="501">
        <f t="shared" ca="1" si="23"/>
        <v>652417.31207964651</v>
      </c>
      <c r="J150" s="501">
        <f t="shared" ca="1" si="23"/>
        <v>652417.31207964651</v>
      </c>
      <c r="K150" s="501">
        <f t="shared" ca="1" si="23"/>
        <v>652417.31207964651</v>
      </c>
      <c r="L150" s="501">
        <f t="shared" ca="1" si="23"/>
        <v>652417.31207964651</v>
      </c>
      <c r="M150" s="501">
        <f t="shared" ca="1" si="23"/>
        <v>652417.31207964651</v>
      </c>
    </row>
    <row r="151" spans="2:13" x14ac:dyDescent="0.15">
      <c r="B151" s="8" t="str">
        <f>F15 &amp; ", kg/yr"</f>
        <v>C, kg/yr</v>
      </c>
      <c r="C151" s="8"/>
      <c r="D151" s="8"/>
      <c r="E151" s="8"/>
      <c r="F151" s="227"/>
      <c r="G151" s="501">
        <f t="shared" ref="G151:M151" ca="1" si="24">G67*G110/1000</f>
        <v>2260272.0100817052</v>
      </c>
      <c r="H151" s="501">
        <f t="shared" ca="1" si="24"/>
        <v>2260272.0100817052</v>
      </c>
      <c r="I151" s="501">
        <f t="shared" ca="1" si="24"/>
        <v>2260272.0100817052</v>
      </c>
      <c r="J151" s="501">
        <f t="shared" ca="1" si="24"/>
        <v>2260272.0100817052</v>
      </c>
      <c r="K151" s="501">
        <f t="shared" ca="1" si="24"/>
        <v>2260272.0100817052</v>
      </c>
      <c r="L151" s="501">
        <f t="shared" ca="1" si="24"/>
        <v>2260272.0100817052</v>
      </c>
      <c r="M151" s="501">
        <f t="shared" ca="1" si="24"/>
        <v>2260272.0100817052</v>
      </c>
    </row>
    <row r="152" spans="2:13" x14ac:dyDescent="0.15">
      <c r="B152" s="8"/>
      <c r="C152" s="8"/>
      <c r="D152" s="8"/>
      <c r="E152" s="8"/>
      <c r="F152" s="227"/>
      <c r="G152" s="501"/>
      <c r="H152" s="501"/>
      <c r="I152" s="501"/>
      <c r="J152" s="501"/>
      <c r="K152" s="501"/>
      <c r="L152" s="501"/>
      <c r="M152" s="501"/>
    </row>
    <row r="153" spans="2:13" x14ac:dyDescent="0.15">
      <c r="B153" s="225" t="s">
        <v>1786</v>
      </c>
      <c r="C153" s="8"/>
      <c r="D153" s="8"/>
      <c r="E153" s="8"/>
      <c r="F153" s="227"/>
      <c r="G153" s="501"/>
      <c r="H153" s="501"/>
      <c r="I153" s="501"/>
      <c r="J153" s="501"/>
      <c r="K153" s="501"/>
      <c r="L153" s="501"/>
      <c r="M153" s="501"/>
    </row>
    <row r="154" spans="2:13" x14ac:dyDescent="0.15">
      <c r="B154" s="8" t="s">
        <v>1779</v>
      </c>
      <c r="C154" s="8"/>
      <c r="D154" s="8"/>
      <c r="E154" s="8"/>
      <c r="F154" s="227"/>
      <c r="G154" s="501">
        <f t="shared" ref="G154:M154" ca="1" si="25">(G73+G74)/G10*G110</f>
        <v>433521.55275388795</v>
      </c>
      <c r="H154" s="501">
        <f t="shared" ca="1" si="25"/>
        <v>433521.55275388795</v>
      </c>
      <c r="I154" s="501">
        <f t="shared" ca="1" si="25"/>
        <v>433521.55275388795</v>
      </c>
      <c r="J154" s="501">
        <f t="shared" ca="1" si="25"/>
        <v>433521.55275388795</v>
      </c>
      <c r="K154" s="501">
        <f t="shared" ca="1" si="25"/>
        <v>433521.55275388795</v>
      </c>
      <c r="L154" s="501">
        <f t="shared" ca="1" si="25"/>
        <v>433521.55275388795</v>
      </c>
      <c r="M154" s="501">
        <f t="shared" ca="1" si="25"/>
        <v>433521.55275388795</v>
      </c>
    </row>
    <row r="155" spans="2:13" x14ac:dyDescent="0.15">
      <c r="B155" s="8" t="s">
        <v>1780</v>
      </c>
      <c r="C155" s="8"/>
      <c r="D155" s="8"/>
      <c r="E155" s="8"/>
      <c r="F155" s="227"/>
      <c r="G155" s="501">
        <f t="shared" ref="G155:M155" ca="1" si="26">(G81+G82)/G10*G110</f>
        <v>1116007.4104846828</v>
      </c>
      <c r="H155" s="501">
        <f t="shared" ca="1" si="26"/>
        <v>1116007.4104846828</v>
      </c>
      <c r="I155" s="501">
        <f t="shared" ca="1" si="26"/>
        <v>1116007.4104846828</v>
      </c>
      <c r="J155" s="501">
        <f t="shared" ca="1" si="26"/>
        <v>1116007.4104846828</v>
      </c>
      <c r="K155" s="501">
        <f t="shared" ca="1" si="26"/>
        <v>1116007.4104846828</v>
      </c>
      <c r="L155" s="501">
        <f t="shared" ca="1" si="26"/>
        <v>1116007.4104846828</v>
      </c>
      <c r="M155" s="501">
        <f t="shared" ca="1" si="26"/>
        <v>1116007.4104846828</v>
      </c>
    </row>
    <row r="157" spans="2:13" ht="16" x14ac:dyDescent="0.2">
      <c r="B157" s="5" t="s">
        <v>1787</v>
      </c>
    </row>
    <row r="158" spans="2:13" ht="14" x14ac:dyDescent="0.15">
      <c r="B158" s="507" t="s">
        <v>1771</v>
      </c>
    </row>
    <row r="159" spans="2:13" x14ac:dyDescent="0.15">
      <c r="B159" s="8" t="s">
        <v>2423</v>
      </c>
      <c r="G159" s="836">
        <f ca="1">G135+G114</f>
        <v>8867707.7126673926</v>
      </c>
      <c r="H159" s="836">
        <f t="shared" ref="H159:M159" ca="1" si="27">H135+H114</f>
        <v>8867707.7126673926</v>
      </c>
      <c r="I159" s="836">
        <f t="shared" ca="1" si="27"/>
        <v>8867707.7126673926</v>
      </c>
      <c r="J159" s="836">
        <f t="shared" ca="1" si="27"/>
        <v>8867707.7126673926</v>
      </c>
      <c r="K159" s="836">
        <f t="shared" ca="1" si="27"/>
        <v>8867707.7126673926</v>
      </c>
      <c r="L159" s="836">
        <f t="shared" ca="1" si="27"/>
        <v>8867707.7126673926</v>
      </c>
      <c r="M159" s="836">
        <f t="shared" ca="1" si="27"/>
        <v>8867707.7126673926</v>
      </c>
    </row>
    <row r="160" spans="2:13" x14ac:dyDescent="0.15">
      <c r="B160" s="8" t="s">
        <v>2424</v>
      </c>
      <c r="G160" s="836">
        <f ca="1">G136+G115</f>
        <v>5243795.6656512814</v>
      </c>
      <c r="H160" s="836">
        <f t="shared" ref="H160:M160" ca="1" si="28">H136+H115</f>
        <v>5243795.6656512814</v>
      </c>
      <c r="I160" s="836">
        <f t="shared" ca="1" si="28"/>
        <v>5243795.6656512814</v>
      </c>
      <c r="J160" s="836">
        <f t="shared" ca="1" si="28"/>
        <v>5243795.6656512814</v>
      </c>
      <c r="K160" s="836">
        <f t="shared" ca="1" si="28"/>
        <v>5243795.6656512814</v>
      </c>
      <c r="L160" s="836">
        <f t="shared" ca="1" si="28"/>
        <v>5243795.6656512814</v>
      </c>
      <c r="M160" s="836">
        <f t="shared" ca="1" si="28"/>
        <v>5243795.6656512814</v>
      </c>
    </row>
    <row r="161" spans="2:13" x14ac:dyDescent="0.15">
      <c r="B161" s="8" t="s">
        <v>1772</v>
      </c>
      <c r="G161" s="836">
        <f ca="1">G137+G116</f>
        <v>1389194.0784404888</v>
      </c>
      <c r="H161" s="836">
        <f t="shared" ref="H161:M162" ca="1" si="29">H137+H116</f>
        <v>1389194.0784404888</v>
      </c>
      <c r="I161" s="836">
        <f t="shared" ca="1" si="29"/>
        <v>1389194.0784404888</v>
      </c>
      <c r="J161" s="836">
        <f t="shared" ca="1" si="29"/>
        <v>1389194.0784404888</v>
      </c>
      <c r="K161" s="836">
        <f t="shared" ca="1" si="29"/>
        <v>1389194.0784404888</v>
      </c>
      <c r="L161" s="836">
        <f t="shared" ca="1" si="29"/>
        <v>1389194.0784404888</v>
      </c>
      <c r="M161" s="836">
        <f t="shared" ca="1" si="29"/>
        <v>1389194.0784404888</v>
      </c>
    </row>
    <row r="162" spans="2:13" x14ac:dyDescent="0.15">
      <c r="B162" s="8" t="s">
        <v>1773</v>
      </c>
      <c r="G162" s="836">
        <f ca="1">G138+G117</f>
        <v>3667985.1381136123</v>
      </c>
      <c r="H162" s="836">
        <f t="shared" ca="1" si="29"/>
        <v>3667985.1381136123</v>
      </c>
      <c r="I162" s="836">
        <f t="shared" ca="1" si="29"/>
        <v>3667985.1381136123</v>
      </c>
      <c r="J162" s="836">
        <f t="shared" ca="1" si="29"/>
        <v>3667985.1381136123</v>
      </c>
      <c r="K162" s="836">
        <f t="shared" ca="1" si="29"/>
        <v>3667985.1381136123</v>
      </c>
      <c r="L162" s="836">
        <f t="shared" ca="1" si="29"/>
        <v>3667985.1381136123</v>
      </c>
      <c r="M162" s="836">
        <f t="shared" ca="1" si="29"/>
        <v>3667985.1381136123</v>
      </c>
    </row>
    <row r="163" spans="2:13" x14ac:dyDescent="0.15">
      <c r="B163" s="8" t="s">
        <v>1782</v>
      </c>
      <c r="G163" s="836">
        <f ca="1">G139</f>
        <v>66934.437067459992</v>
      </c>
      <c r="H163" s="836">
        <f t="shared" ref="H163:M163" ca="1" si="30">H139</f>
        <v>66934.437067459992</v>
      </c>
      <c r="I163" s="836">
        <f t="shared" ca="1" si="30"/>
        <v>66934.437067459992</v>
      </c>
      <c r="J163" s="836">
        <f t="shared" ca="1" si="30"/>
        <v>66934.437067459992</v>
      </c>
      <c r="K163" s="836">
        <f t="shared" ca="1" si="30"/>
        <v>66934.437067459992</v>
      </c>
      <c r="L163" s="836">
        <f t="shared" ca="1" si="30"/>
        <v>66934.437067459992</v>
      </c>
      <c r="M163" s="836">
        <f t="shared" ca="1" si="30"/>
        <v>66934.437067459992</v>
      </c>
    </row>
    <row r="164" spans="2:13" x14ac:dyDescent="0.15">
      <c r="B164" s="8" t="s">
        <v>1783</v>
      </c>
      <c r="G164" s="836">
        <f ca="1">G140</f>
        <v>53771.546063707974</v>
      </c>
      <c r="H164" s="836">
        <f t="shared" ref="H164:M164" ca="1" si="31">H140</f>
        <v>53771.546063707974</v>
      </c>
      <c r="I164" s="836">
        <f t="shared" ca="1" si="31"/>
        <v>53771.546063707974</v>
      </c>
      <c r="J164" s="836">
        <f t="shared" ca="1" si="31"/>
        <v>53771.546063707974</v>
      </c>
      <c r="K164" s="836">
        <f t="shared" ca="1" si="31"/>
        <v>53771.546063707974</v>
      </c>
      <c r="L164" s="836">
        <f t="shared" ca="1" si="31"/>
        <v>53771.546063707974</v>
      </c>
      <c r="M164" s="836">
        <f t="shared" ca="1" si="31"/>
        <v>53771.546063707974</v>
      </c>
    </row>
    <row r="165" spans="2:13" x14ac:dyDescent="0.15">
      <c r="B165" s="8" t="s">
        <v>1774</v>
      </c>
      <c r="G165" s="836">
        <f ca="1">G118+G141</f>
        <v>110273.76388348025</v>
      </c>
      <c r="H165" s="836">
        <f t="shared" ref="H165:M165" ca="1" si="32">H118+H141</f>
        <v>110273.76388348025</v>
      </c>
      <c r="I165" s="836">
        <f t="shared" ca="1" si="32"/>
        <v>110273.76388348025</v>
      </c>
      <c r="J165" s="836">
        <f t="shared" ca="1" si="32"/>
        <v>110273.76388348025</v>
      </c>
      <c r="K165" s="836">
        <f t="shared" ca="1" si="32"/>
        <v>110273.76388348025</v>
      </c>
      <c r="L165" s="836">
        <f t="shared" ca="1" si="32"/>
        <v>110273.76388348025</v>
      </c>
      <c r="M165" s="836">
        <f t="shared" ca="1" si="32"/>
        <v>110273.76388348025</v>
      </c>
    </row>
    <row r="166" spans="2:13" x14ac:dyDescent="0.15">
      <c r="B166" s="8" t="s">
        <v>1775</v>
      </c>
      <c r="G166" s="836">
        <f ca="1">G119+G142</f>
        <v>1838686.0078271055</v>
      </c>
      <c r="H166" s="836">
        <f t="shared" ref="H166:M166" ca="1" si="33">H119+H142</f>
        <v>1838686.0078271055</v>
      </c>
      <c r="I166" s="836">
        <f t="shared" ca="1" si="33"/>
        <v>1838686.0078271055</v>
      </c>
      <c r="J166" s="836">
        <f t="shared" ca="1" si="33"/>
        <v>1838686.0078271055</v>
      </c>
      <c r="K166" s="836">
        <f t="shared" ca="1" si="33"/>
        <v>1838686.0078271055</v>
      </c>
      <c r="L166" s="836">
        <f t="shared" ca="1" si="33"/>
        <v>1838686.0078271055</v>
      </c>
      <c r="M166" s="836">
        <f t="shared" ca="1" si="33"/>
        <v>1838686.0078271055</v>
      </c>
    </row>
    <row r="167" spans="2:13" x14ac:dyDescent="0.15">
      <c r="B167" s="8" t="s">
        <v>1784</v>
      </c>
      <c r="G167" s="836">
        <f ca="1">G143</f>
        <v>209650.35404590136</v>
      </c>
      <c r="H167" s="836">
        <f t="shared" ref="H167:M167" ca="1" si="34">H143</f>
        <v>209650.35404590136</v>
      </c>
      <c r="I167" s="836">
        <f t="shared" ca="1" si="34"/>
        <v>209650.35404590136</v>
      </c>
      <c r="J167" s="836">
        <f t="shared" ca="1" si="34"/>
        <v>209650.35404590136</v>
      </c>
      <c r="K167" s="836">
        <f t="shared" ca="1" si="34"/>
        <v>209650.35404590136</v>
      </c>
      <c r="L167" s="836">
        <f t="shared" ca="1" si="34"/>
        <v>209650.35404590136</v>
      </c>
      <c r="M167" s="836">
        <f t="shared" ca="1" si="34"/>
        <v>209650.35404590136</v>
      </c>
    </row>
    <row r="168" spans="2:13" x14ac:dyDescent="0.15">
      <c r="B168" s="8"/>
    </row>
    <row r="169" spans="2:13" ht="14" x14ac:dyDescent="0.15">
      <c r="B169" s="507" t="s">
        <v>1785</v>
      </c>
    </row>
    <row r="170" spans="2:13" x14ac:dyDescent="0.15">
      <c r="B170" s="225" t="s">
        <v>2428</v>
      </c>
    </row>
    <row r="171" spans="2:13" x14ac:dyDescent="0.15">
      <c r="B171" s="8" t="s">
        <v>1777</v>
      </c>
      <c r="G171" s="836">
        <f ca="1">G123+G147</f>
        <v>631841.65922954597</v>
      </c>
      <c r="H171" s="836">
        <f t="shared" ref="H171:M171" ca="1" si="35">H123+H147</f>
        <v>631841.65922954597</v>
      </c>
      <c r="I171" s="836">
        <f t="shared" ca="1" si="35"/>
        <v>631841.65922954597</v>
      </c>
      <c r="J171" s="836">
        <f t="shared" ca="1" si="35"/>
        <v>631841.65922954597</v>
      </c>
      <c r="K171" s="836">
        <f t="shared" ca="1" si="35"/>
        <v>631841.65922954597</v>
      </c>
      <c r="L171" s="836">
        <f t="shared" ca="1" si="35"/>
        <v>631841.65922954597</v>
      </c>
      <c r="M171" s="836">
        <f t="shared" ca="1" si="35"/>
        <v>631841.65922954597</v>
      </c>
    </row>
    <row r="172" spans="2:13" x14ac:dyDescent="0.15">
      <c r="B172" s="8" t="str">
        <f>C15 &amp; ", kg/yr"</f>
        <v>Ni, kg/yr</v>
      </c>
      <c r="G172" s="836">
        <f ca="1">G124+G148</f>
        <v>2619079.5927005541</v>
      </c>
      <c r="H172" s="836">
        <f t="shared" ref="H172:M175" ca="1" si="36">H124+H148</f>
        <v>2619079.5927005541</v>
      </c>
      <c r="I172" s="836">
        <f t="shared" ca="1" si="36"/>
        <v>2619079.5927005541</v>
      </c>
      <c r="J172" s="836">
        <f t="shared" ca="1" si="36"/>
        <v>2619079.5927005541</v>
      </c>
      <c r="K172" s="836">
        <f t="shared" ca="1" si="36"/>
        <v>2619079.5927005541</v>
      </c>
      <c r="L172" s="836">
        <f t="shared" ca="1" si="36"/>
        <v>2619079.5927005541</v>
      </c>
      <c r="M172" s="836">
        <f t="shared" ca="1" si="36"/>
        <v>2619079.5927005541</v>
      </c>
    </row>
    <row r="173" spans="2:13" x14ac:dyDescent="0.15">
      <c r="B173" s="8" t="str">
        <f>D15 &amp; ", kg/yr"</f>
        <v>Co, kg/yr</v>
      </c>
      <c r="G173" s="836">
        <f ca="1">G125+G149</f>
        <v>1051557.5567899412</v>
      </c>
      <c r="H173" s="836">
        <f t="shared" ca="1" si="36"/>
        <v>1051557.5567899412</v>
      </c>
      <c r="I173" s="836">
        <f t="shared" ca="1" si="36"/>
        <v>1051557.5567899412</v>
      </c>
      <c r="J173" s="836">
        <f t="shared" ca="1" si="36"/>
        <v>1051557.5567899412</v>
      </c>
      <c r="K173" s="836">
        <f t="shared" ca="1" si="36"/>
        <v>1051557.5567899412</v>
      </c>
      <c r="L173" s="836">
        <f t="shared" ca="1" si="36"/>
        <v>1051557.5567899412</v>
      </c>
      <c r="M173" s="836">
        <f t="shared" ca="1" si="36"/>
        <v>1051557.5567899412</v>
      </c>
    </row>
    <row r="174" spans="2:13" x14ac:dyDescent="0.15">
      <c r="B174" s="8" t="str">
        <f>E15 &amp; ", kg/yr"</f>
        <v>Mn, kg/yr</v>
      </c>
      <c r="G174" s="836">
        <f ca="1">G126+G150</f>
        <v>1470538.9149000351</v>
      </c>
      <c r="H174" s="836">
        <f t="shared" ca="1" si="36"/>
        <v>1470538.9149000351</v>
      </c>
      <c r="I174" s="836">
        <f t="shared" ca="1" si="36"/>
        <v>1470538.9149000351</v>
      </c>
      <c r="J174" s="836">
        <f t="shared" ca="1" si="36"/>
        <v>1470538.9149000351</v>
      </c>
      <c r="K174" s="836">
        <f t="shared" ca="1" si="36"/>
        <v>1470538.9149000351</v>
      </c>
      <c r="L174" s="836">
        <f t="shared" ca="1" si="36"/>
        <v>1470538.9149000351</v>
      </c>
      <c r="M174" s="836">
        <f t="shared" ca="1" si="36"/>
        <v>1470538.9149000351</v>
      </c>
    </row>
    <row r="175" spans="2:13" x14ac:dyDescent="0.15">
      <c r="B175" s="8" t="str">
        <f>F15 &amp; ", kg/yr"</f>
        <v>C, kg/yr</v>
      </c>
      <c r="G175" s="836">
        <f ca="1">G127+G151</f>
        <v>5094619.4828728028</v>
      </c>
      <c r="H175" s="836">
        <f t="shared" ca="1" si="36"/>
        <v>5094619.4828728028</v>
      </c>
      <c r="I175" s="836">
        <f t="shared" ca="1" si="36"/>
        <v>5094619.4828728028</v>
      </c>
      <c r="J175" s="836">
        <f t="shared" ca="1" si="36"/>
        <v>5094619.4828728028</v>
      </c>
      <c r="K175" s="836">
        <f t="shared" ca="1" si="36"/>
        <v>5094619.4828728028</v>
      </c>
      <c r="L175" s="836">
        <f t="shared" ca="1" si="36"/>
        <v>5094619.4828728028</v>
      </c>
      <c r="M175" s="836">
        <f t="shared" ca="1" si="36"/>
        <v>5094619.4828728028</v>
      </c>
    </row>
    <row r="176" spans="2:13" x14ac:dyDescent="0.15">
      <c r="B176" s="8"/>
      <c r="G176" s="836"/>
      <c r="H176" s="836"/>
      <c r="I176" s="836"/>
      <c r="J176" s="836"/>
      <c r="K176" s="836"/>
      <c r="L176" s="836"/>
      <c r="M176" s="836"/>
    </row>
    <row r="177" spans="2:13" x14ac:dyDescent="0.15">
      <c r="B177" s="225" t="s">
        <v>1786</v>
      </c>
      <c r="G177" s="836"/>
      <c r="H177" s="836"/>
      <c r="I177" s="836"/>
      <c r="J177" s="836"/>
      <c r="K177" s="836"/>
      <c r="L177" s="836"/>
      <c r="M177" s="836"/>
    </row>
    <row r="178" spans="2:13" x14ac:dyDescent="0.15">
      <c r="B178" s="8" t="s">
        <v>1779</v>
      </c>
      <c r="G178" s="836">
        <f t="shared" ref="G178:M179" ca="1" si="37">G130+G154</f>
        <v>1404998.1673702458</v>
      </c>
      <c r="H178" s="836">
        <f t="shared" ca="1" si="37"/>
        <v>1404998.1673702458</v>
      </c>
      <c r="I178" s="836">
        <f t="shared" ca="1" si="37"/>
        <v>1404998.1673702458</v>
      </c>
      <c r="J178" s="836">
        <f t="shared" ca="1" si="37"/>
        <v>1404998.1673702458</v>
      </c>
      <c r="K178" s="836">
        <f t="shared" ca="1" si="37"/>
        <v>1404998.1673702458</v>
      </c>
      <c r="L178" s="836">
        <f t="shared" ca="1" si="37"/>
        <v>1404998.1673702458</v>
      </c>
      <c r="M178" s="836">
        <f t="shared" ca="1" si="37"/>
        <v>1404998.1673702458</v>
      </c>
    </row>
    <row r="179" spans="2:13" x14ac:dyDescent="0.15">
      <c r="B179" s="8" t="s">
        <v>1780</v>
      </c>
      <c r="G179" s="836">
        <f t="shared" ca="1" si="37"/>
        <v>3681064.2587243188</v>
      </c>
      <c r="H179" s="836">
        <f t="shared" ca="1" si="37"/>
        <v>3681064.2587243188</v>
      </c>
      <c r="I179" s="836">
        <f t="shared" ca="1" si="37"/>
        <v>3681064.2587243188</v>
      </c>
      <c r="J179" s="836">
        <f t="shared" ca="1" si="37"/>
        <v>3681064.2587243188</v>
      </c>
      <c r="K179" s="836">
        <f t="shared" ca="1" si="37"/>
        <v>3681064.2587243188</v>
      </c>
      <c r="L179" s="836">
        <f t="shared" ca="1" si="37"/>
        <v>3681064.2587243188</v>
      </c>
      <c r="M179" s="836">
        <f t="shared" ca="1" si="37"/>
        <v>3681064.2587243188</v>
      </c>
    </row>
  </sheetData>
  <mergeCells count="10">
    <mergeCell ref="N1:O1"/>
    <mergeCell ref="B20:M20"/>
    <mergeCell ref="B106:M106"/>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9E8206B4-F56C-461B-88F2-95A3111D6D71}">
          <x14:formula1>
            <xm:f>Lists!$M$117:$M$135</xm:f>
          </x14:formula1>
          <xm:sqref>C15:F15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84"/>
  <sheetViews>
    <sheetView workbookViewId="0">
      <pane ySplit="6" topLeftCell="A7" activePane="bottomLeft" state="frozen"/>
      <selection pane="bottomLeft" activeCell="B6" sqref="B6"/>
    </sheetView>
  </sheetViews>
  <sheetFormatPr baseColWidth="10" defaultColWidth="8.5" defaultRowHeight="13" x14ac:dyDescent="0.15"/>
  <cols>
    <col min="1" max="1" width="3.5" style="8" customWidth="1"/>
    <col min="2" max="2" width="21.5" customWidth="1"/>
    <col min="3" max="3" width="13.5" customWidth="1"/>
    <col min="4" max="4" width="11" customWidth="1"/>
    <col min="5" max="5" width="12.5" customWidth="1"/>
    <col min="6" max="6" width="15" customWidth="1"/>
    <col min="7" max="7" width="12.1640625" bestFit="1" customWidth="1"/>
    <col min="8" max="13" width="11" bestFit="1" customWidth="1"/>
    <col min="14" max="14" width="19" customWidth="1"/>
    <col min="15" max="15" width="18.5" bestFit="1" customWidth="1"/>
    <col min="16" max="16" width="18.1640625" customWidth="1"/>
    <col min="17" max="17" width="21.5" customWidth="1"/>
    <col min="18" max="18" width="11.5" customWidth="1"/>
    <col min="22" max="22" width="10.5" customWidth="1"/>
  </cols>
  <sheetData>
    <row r="1" spans="1:28" s="8" customFormat="1" ht="19" thickBot="1" x14ac:dyDescent="0.25">
      <c r="A1" s="46"/>
      <c r="B1" s="1346" t="s">
        <v>1788</v>
      </c>
      <c r="C1" s="1346"/>
      <c r="D1" s="1346"/>
      <c r="E1" s="1346"/>
      <c r="F1" s="1346"/>
      <c r="G1" s="1346"/>
      <c r="H1" s="1346"/>
      <c r="I1" s="1346"/>
      <c r="J1" s="1346"/>
      <c r="K1" s="1346"/>
      <c r="L1" s="1346"/>
      <c r="M1" s="1347"/>
      <c r="N1" s="1260" t="s">
        <v>9</v>
      </c>
      <c r="O1" s="1261"/>
      <c r="P1"/>
    </row>
    <row r="2" spans="1:28" s="8" customFormat="1" ht="17" thickBot="1" x14ac:dyDescent="0.25">
      <c r="A2" s="46"/>
      <c r="B2" s="1270" t="str">
        <f>Dashboard!B2</f>
        <v>EV with NMC532-G (Power) Electrodes</v>
      </c>
      <c r="C2" s="1271"/>
      <c r="D2" s="1271"/>
      <c r="E2" s="1271"/>
      <c r="F2" s="1271"/>
      <c r="G2" s="1271"/>
      <c r="H2" s="1271"/>
      <c r="I2" s="1271"/>
      <c r="J2" s="1271"/>
      <c r="K2" s="1271"/>
      <c r="L2" s="1271"/>
      <c r="M2" s="1272"/>
      <c r="N2" s="987" t="s">
        <v>8</v>
      </c>
      <c r="O2" s="988" t="s">
        <v>10</v>
      </c>
      <c r="P2"/>
    </row>
    <row r="3" spans="1:28" s="8" customFormat="1" ht="16" x14ac:dyDescent="0.2">
      <c r="A3" s="46"/>
      <c r="B3" s="1291" t="s">
        <v>132</v>
      </c>
      <c r="C3" s="1291"/>
      <c r="D3" s="1291"/>
      <c r="E3" s="1291"/>
      <c r="F3" s="1291"/>
      <c r="G3" s="1291"/>
      <c r="H3" s="1291"/>
      <c r="I3" s="1291"/>
      <c r="J3" s="1291"/>
      <c r="K3" s="1291"/>
      <c r="L3" s="1291"/>
      <c r="M3" s="1333"/>
      <c r="N3" s="989" t="s">
        <v>15</v>
      </c>
      <c r="O3" s="988" t="s">
        <v>16</v>
      </c>
      <c r="P3"/>
    </row>
    <row r="4" spans="1:28" s="8" customFormat="1" x14ac:dyDescent="0.15">
      <c r="A4" s="46"/>
      <c r="B4" s="1293" t="s">
        <v>298</v>
      </c>
      <c r="C4" s="1293"/>
      <c r="D4" s="1293"/>
      <c r="E4" s="1293"/>
      <c r="F4" s="181"/>
      <c r="G4" s="1294" t="s">
        <v>12</v>
      </c>
      <c r="H4" s="1294"/>
      <c r="I4" s="1294"/>
      <c r="J4" s="1294"/>
      <c r="K4" s="1294"/>
      <c r="L4" s="1294"/>
      <c r="M4" s="1294"/>
      <c r="N4" s="986" t="s">
        <v>17</v>
      </c>
      <c r="O4" s="988" t="s">
        <v>18</v>
      </c>
      <c r="P4"/>
    </row>
    <row r="5" spans="1:28" s="8" customFormat="1" ht="14" thickBot="1" x14ac:dyDescent="0.2">
      <c r="A5" s="46"/>
      <c r="B5" s="1322" t="s">
        <v>13</v>
      </c>
      <c r="C5" s="1322"/>
      <c r="D5" s="1322"/>
      <c r="E5" s="1322"/>
      <c r="F5" s="524"/>
      <c r="G5" s="1348" t="s">
        <v>14</v>
      </c>
      <c r="H5" s="1348"/>
      <c r="I5" s="1348"/>
      <c r="J5" s="1348"/>
      <c r="K5" s="1348"/>
      <c r="L5" s="1348"/>
      <c r="M5" s="1348"/>
      <c r="N5" s="986" t="s">
        <v>20</v>
      </c>
      <c r="O5" s="992" t="s">
        <v>21</v>
      </c>
      <c r="P5"/>
    </row>
    <row r="6" spans="1:28" ht="19.5" customHeight="1" thickBot="1" x14ac:dyDescent="0.25">
      <c r="B6" s="49"/>
      <c r="C6" s="521"/>
      <c r="D6" s="521"/>
      <c r="E6" s="521"/>
      <c r="F6" s="521"/>
      <c r="G6" s="522" t="s">
        <v>56</v>
      </c>
      <c r="H6" s="522" t="s">
        <v>57</v>
      </c>
      <c r="I6" s="522" t="s">
        <v>58</v>
      </c>
      <c r="J6" s="522" t="s">
        <v>59</v>
      </c>
      <c r="K6" s="522" t="s">
        <v>60</v>
      </c>
      <c r="L6" s="522" t="s">
        <v>61</v>
      </c>
      <c r="M6" s="523" t="s">
        <v>62</v>
      </c>
      <c r="N6" s="990" t="s">
        <v>25</v>
      </c>
      <c r="O6" s="991" t="s">
        <v>26</v>
      </c>
      <c r="P6" s="26"/>
    </row>
    <row r="7" spans="1:28" ht="19.5" customHeight="1" thickBot="1" x14ac:dyDescent="0.25">
      <c r="C7" s="16"/>
      <c r="D7" s="16"/>
      <c r="E7" s="16"/>
      <c r="F7" s="16"/>
      <c r="G7" s="123"/>
      <c r="H7" s="123"/>
      <c r="I7" s="123"/>
      <c r="J7" s="123"/>
      <c r="K7" s="123"/>
      <c r="L7" s="123"/>
      <c r="M7" s="389"/>
      <c r="P7" s="26"/>
    </row>
    <row r="8" spans="1:28" ht="19.5" customHeight="1" thickBot="1" x14ac:dyDescent="0.25">
      <c r="B8" s="1262" t="s">
        <v>1789</v>
      </c>
      <c r="C8" s="1263"/>
      <c r="D8" s="1263"/>
      <c r="E8" s="1263"/>
      <c r="F8" s="1263"/>
      <c r="G8" s="1263"/>
      <c r="H8" s="1263"/>
      <c r="I8" s="1263"/>
      <c r="J8" s="1263"/>
      <c r="K8" s="1263"/>
      <c r="L8" s="1263"/>
      <c r="M8" s="1264"/>
      <c r="P8" s="26"/>
    </row>
    <row r="9" spans="1:28" ht="12.75" customHeight="1" x14ac:dyDescent="0.2">
      <c r="B9" s="5"/>
      <c r="C9" s="16"/>
      <c r="D9" s="16"/>
      <c r="E9" s="16"/>
      <c r="F9" s="16"/>
      <c r="G9" s="123"/>
      <c r="H9" s="123"/>
      <c r="I9" s="123"/>
      <c r="J9" s="123"/>
      <c r="K9" s="123"/>
      <c r="L9" s="123"/>
      <c r="M9" s="389"/>
      <c r="P9" s="26"/>
    </row>
    <row r="10" spans="1:28" s="6" customFormat="1" ht="14.25" customHeight="1" x14ac:dyDescent="0.2">
      <c r="B10" s="8" t="s">
        <v>1790</v>
      </c>
      <c r="C10" s="8"/>
      <c r="D10" s="8"/>
      <c r="E10" s="8"/>
      <c r="F10" s="8"/>
      <c r="G10" s="331">
        <f>Dashboard!D49</f>
        <v>30</v>
      </c>
      <c r="H10" s="331">
        <f>Dashboard!E49</f>
        <v>30</v>
      </c>
      <c r="I10" s="331">
        <f>Dashboard!F49</f>
        <v>30</v>
      </c>
      <c r="J10" s="331">
        <f>Dashboard!G49</f>
        <v>30</v>
      </c>
      <c r="K10" s="331">
        <f>Dashboard!H49</f>
        <v>30</v>
      </c>
      <c r="L10" s="331">
        <f>Dashboard!I49</f>
        <v>30</v>
      </c>
      <c r="M10" s="331">
        <f>Dashboard!J49</f>
        <v>30</v>
      </c>
      <c r="U10"/>
      <c r="V10" s="66"/>
    </row>
    <row r="11" spans="1:28" ht="14" x14ac:dyDescent="0.2">
      <c r="B11" s="8" t="s">
        <v>1791</v>
      </c>
      <c r="G11" s="91">
        <v>15</v>
      </c>
      <c r="H11" s="91">
        <v>15</v>
      </c>
      <c r="I11" s="91">
        <v>15</v>
      </c>
      <c r="J11" s="91">
        <v>15</v>
      </c>
      <c r="K11" s="91">
        <v>15</v>
      </c>
      <c r="L11" s="91">
        <v>15</v>
      </c>
      <c r="M11" s="91">
        <v>15</v>
      </c>
      <c r="V11" s="2"/>
      <c r="W11" s="2"/>
    </row>
    <row r="12" spans="1:28" ht="14" x14ac:dyDescent="0.2">
      <c r="B12" s="8" t="s">
        <v>1792</v>
      </c>
      <c r="G12" s="92">
        <v>5</v>
      </c>
      <c r="H12" s="92">
        <v>5</v>
      </c>
      <c r="I12" s="92">
        <v>5</v>
      </c>
      <c r="J12" s="92">
        <v>5</v>
      </c>
      <c r="K12" s="92">
        <v>5</v>
      </c>
      <c r="L12" s="92">
        <v>5</v>
      </c>
      <c r="M12" s="92">
        <v>5</v>
      </c>
      <c r="V12" s="3"/>
      <c r="W12" s="3"/>
    </row>
    <row r="13" spans="1:28" x14ac:dyDescent="0.15">
      <c r="B13" t="s">
        <v>1793</v>
      </c>
      <c r="G13" s="7">
        <f>'Battery Design'!G24*'Battery Design'!G473/100</f>
        <v>85</v>
      </c>
      <c r="H13" s="7">
        <f>'Battery Design'!H24*'Battery Design'!H473/100</f>
        <v>85</v>
      </c>
      <c r="I13" s="7">
        <f>'Battery Design'!I24*'Battery Design'!I473/100</f>
        <v>85</v>
      </c>
      <c r="J13" s="7">
        <f>'Battery Design'!J24*'Battery Design'!J473/100</f>
        <v>85</v>
      </c>
      <c r="K13" s="7">
        <f>'Battery Design'!K24*'Battery Design'!K473/100</f>
        <v>85</v>
      </c>
      <c r="L13" s="7">
        <f>'Battery Design'!L24*'Battery Design'!L473/100</f>
        <v>85</v>
      </c>
      <c r="M13" s="7">
        <f>'Battery Design'!M24*'Battery Design'!M473/100</f>
        <v>85</v>
      </c>
      <c r="V13" s="7"/>
    </row>
    <row r="14" spans="1:28" x14ac:dyDescent="0.15">
      <c r="B14" s="8" t="s">
        <v>1794</v>
      </c>
      <c r="G14" s="39">
        <f>0.85</f>
        <v>0.85</v>
      </c>
      <c r="H14" s="39">
        <f t="shared" ref="H14:M14" si="0">0.85</f>
        <v>0.85</v>
      </c>
      <c r="I14" s="39">
        <f t="shared" si="0"/>
        <v>0.85</v>
      </c>
      <c r="J14" s="39">
        <f t="shared" si="0"/>
        <v>0.85</v>
      </c>
      <c r="K14" s="39">
        <f t="shared" si="0"/>
        <v>0.85</v>
      </c>
      <c r="L14" s="39">
        <f t="shared" si="0"/>
        <v>0.85</v>
      </c>
      <c r="M14" s="39">
        <f t="shared" si="0"/>
        <v>0.85</v>
      </c>
      <c r="V14" s="45"/>
    </row>
    <row r="15" spans="1:28" x14ac:dyDescent="0.15">
      <c r="B15" t="s">
        <v>1795</v>
      </c>
      <c r="G15" s="3">
        <f ca="1">'Battery Design'!G460-0.5*'Battery Design'!G458</f>
        <v>542.0535000345352</v>
      </c>
      <c r="H15" s="3">
        <f ca="1">'Battery Design'!H460-0.5*'Battery Design'!H458</f>
        <v>542.0535000345352</v>
      </c>
      <c r="I15" s="3">
        <f ca="1">'Battery Design'!I460-0.5*'Battery Design'!I458</f>
        <v>542.0535000345352</v>
      </c>
      <c r="J15" s="3">
        <f ca="1">'Battery Design'!J460-0.5*'Battery Design'!J458</f>
        <v>542.0535000345352</v>
      </c>
      <c r="K15" s="3">
        <f ca="1">'Battery Design'!K460-0.5*'Battery Design'!K458</f>
        <v>542.0535000345352</v>
      </c>
      <c r="L15" s="3">
        <f ca="1">'Battery Design'!L460-0.5*'Battery Design'!L458</f>
        <v>542.0535000345352</v>
      </c>
      <c r="M15" s="3">
        <f ca="1">'Battery Design'!M460-0.5*'Battery Design'!M458</f>
        <v>542.0535000345352</v>
      </c>
      <c r="V15" s="3"/>
    </row>
    <row r="16" spans="1:28" x14ac:dyDescent="0.15">
      <c r="B16" s="8" t="s">
        <v>1796</v>
      </c>
      <c r="G16" s="2">
        <f>'Battery Design'!G14</f>
        <v>300</v>
      </c>
      <c r="H16" s="2">
        <f>'Battery Design'!H14</f>
        <v>300</v>
      </c>
      <c r="I16" s="2">
        <f>'Battery Design'!I14</f>
        <v>300</v>
      </c>
      <c r="J16" s="2">
        <f>'Battery Design'!J14</f>
        <v>300</v>
      </c>
      <c r="K16" s="2">
        <f>'Battery Design'!K14</f>
        <v>300</v>
      </c>
      <c r="L16" s="2">
        <f>'Battery Design'!L14</f>
        <v>300</v>
      </c>
      <c r="M16" s="2">
        <f>'Battery Design'!M14</f>
        <v>300</v>
      </c>
      <c r="P16" s="8"/>
      <c r="Q16" s="7"/>
      <c r="R16" s="7"/>
      <c r="S16" s="3"/>
      <c r="T16" s="7"/>
      <c r="V16" s="47"/>
      <c r="W16" s="47"/>
      <c r="Y16" s="35"/>
      <c r="Z16" s="7"/>
      <c r="AA16" s="7"/>
      <c r="AB16" s="3"/>
    </row>
    <row r="17" spans="2:21" x14ac:dyDescent="0.15">
      <c r="B17" s="8" t="s">
        <v>1797</v>
      </c>
      <c r="C17" s="16"/>
      <c r="D17" s="16"/>
      <c r="E17" s="16"/>
      <c r="F17" s="16"/>
      <c r="G17" s="849">
        <f>'Battery Design'!G136</f>
        <v>10</v>
      </c>
      <c r="H17" s="849">
        <f>'Battery Design'!H136</f>
        <v>10</v>
      </c>
      <c r="I17" s="849">
        <f>'Battery Design'!I136</f>
        <v>10</v>
      </c>
      <c r="J17" s="849">
        <f>'Battery Design'!J136</f>
        <v>10</v>
      </c>
      <c r="K17" s="849">
        <f>'Battery Design'!K136</f>
        <v>10</v>
      </c>
      <c r="L17" s="849">
        <f>'Battery Design'!L136</f>
        <v>10</v>
      </c>
      <c r="M17" s="849">
        <f>'Battery Design'!M136</f>
        <v>10</v>
      </c>
      <c r="P17" s="26"/>
    </row>
    <row r="18" spans="2:21" x14ac:dyDescent="0.15">
      <c r="B18" s="8" t="s">
        <v>1798</v>
      </c>
      <c r="C18" s="8"/>
      <c r="D18" s="8"/>
      <c r="G18" s="11">
        <f>IF(G19 = "", 'Vehicle Considerations'!$B$35, G19)</f>
        <v>250</v>
      </c>
      <c r="H18" s="11">
        <f>IF(H19 = "", 'Vehicle Considerations'!$B$35, H19)</f>
        <v>250</v>
      </c>
      <c r="I18" s="11">
        <f>IF(I19 = "", 'Vehicle Considerations'!$B$35, I19)</f>
        <v>250</v>
      </c>
      <c r="J18" s="11">
        <f>IF(J19 = "", 'Vehicle Considerations'!$B$35, J19)</f>
        <v>250</v>
      </c>
      <c r="K18" s="11">
        <f>IF(K19 = "", 'Vehicle Considerations'!$B$35, K19)</f>
        <v>250</v>
      </c>
      <c r="L18" s="11">
        <f>IF(L19 = "", 'Vehicle Considerations'!$B$35, L19)</f>
        <v>250</v>
      </c>
      <c r="M18" s="11">
        <f>IF(M19 = "", 'Vehicle Considerations'!$B$35, M19)</f>
        <v>250</v>
      </c>
      <c r="N18" s="87"/>
      <c r="Q18" s="11"/>
      <c r="R18" s="11"/>
      <c r="S18" s="11"/>
      <c r="T18" s="11"/>
      <c r="U18" s="11"/>
    </row>
    <row r="19" spans="2:21" x14ac:dyDescent="0.15">
      <c r="B19" s="8" t="s">
        <v>1799</v>
      </c>
      <c r="C19" s="16"/>
      <c r="D19" s="16"/>
      <c r="E19" s="16"/>
      <c r="F19" s="16"/>
      <c r="G19" s="1070"/>
      <c r="H19" s="1070"/>
      <c r="I19" s="1070"/>
      <c r="J19" s="1070"/>
      <c r="K19" s="1070"/>
      <c r="L19" s="1070"/>
      <c r="M19" s="1070"/>
      <c r="P19" s="26"/>
    </row>
    <row r="20" spans="2:21" ht="14" thickBot="1" x14ac:dyDescent="0.2">
      <c r="B20" s="8"/>
      <c r="C20" s="16"/>
      <c r="D20" s="16"/>
      <c r="E20" s="16"/>
      <c r="F20" s="16"/>
      <c r="G20" s="45"/>
      <c r="H20" s="45"/>
      <c r="I20" s="45"/>
      <c r="J20" s="45"/>
      <c r="K20" s="45"/>
      <c r="L20" s="45"/>
      <c r="M20" s="45"/>
      <c r="P20" s="26"/>
    </row>
    <row r="21" spans="2:21" ht="21" thickBot="1" x14ac:dyDescent="0.25">
      <c r="B21" s="1262" t="s">
        <v>1800</v>
      </c>
      <c r="C21" s="1263"/>
      <c r="D21" s="1263"/>
      <c r="E21" s="1263"/>
      <c r="F21" s="1263"/>
      <c r="G21" s="1263"/>
      <c r="H21" s="1263"/>
      <c r="I21" s="1263"/>
      <c r="J21" s="1263"/>
      <c r="K21" s="1263"/>
      <c r="L21" s="1263"/>
      <c r="M21" s="1264"/>
      <c r="P21" s="26"/>
    </row>
    <row r="22" spans="2:21" ht="16" x14ac:dyDescent="0.2">
      <c r="B22" s="5"/>
      <c r="C22" s="16"/>
      <c r="D22" s="16"/>
      <c r="E22" s="16"/>
      <c r="F22" s="16"/>
      <c r="G22" s="123"/>
      <c r="H22" s="123"/>
      <c r="I22" s="123"/>
      <c r="J22" s="123"/>
      <c r="K22" s="123"/>
      <c r="L22" s="123"/>
      <c r="M22" s="389"/>
      <c r="P22" s="26"/>
    </row>
    <row r="23" spans="2:21" ht="16" x14ac:dyDescent="0.2">
      <c r="B23" s="5" t="s">
        <v>1801</v>
      </c>
      <c r="C23" s="16"/>
      <c r="D23" s="16"/>
      <c r="E23" s="16"/>
      <c r="F23" s="16"/>
      <c r="G23" s="123"/>
      <c r="H23" s="123"/>
      <c r="I23" s="123"/>
      <c r="J23" s="123"/>
      <c r="K23" s="123"/>
      <c r="L23" s="123"/>
      <c r="M23" s="389"/>
      <c r="P23" s="26"/>
    </row>
    <row r="24" spans="2:21" ht="14" x14ac:dyDescent="0.15">
      <c r="B24" s="507" t="s">
        <v>1802</v>
      </c>
      <c r="F24" s="45"/>
      <c r="G24" s="46"/>
      <c r="H24" s="46"/>
      <c r="I24" s="46"/>
      <c r="J24" s="46"/>
      <c r="K24" s="46"/>
      <c r="L24" s="46"/>
      <c r="M24" s="46"/>
      <c r="P24" s="26"/>
    </row>
    <row r="25" spans="2:21" x14ac:dyDescent="0.15">
      <c r="B25" s="8" t="s">
        <v>1803</v>
      </c>
      <c r="C25" s="8"/>
      <c r="D25" s="8"/>
      <c r="E25" s="8"/>
      <c r="F25" s="76">
        <v>0.5</v>
      </c>
      <c r="G25" s="46">
        <f t="shared" ref="G25:M25" si="1">$F25</f>
        <v>0.5</v>
      </c>
      <c r="H25" s="46">
        <f t="shared" si="1"/>
        <v>0.5</v>
      </c>
      <c r="I25" s="46">
        <f t="shared" si="1"/>
        <v>0.5</v>
      </c>
      <c r="J25" s="46">
        <f t="shared" si="1"/>
        <v>0.5</v>
      </c>
      <c r="K25" s="46">
        <f t="shared" si="1"/>
        <v>0.5</v>
      </c>
      <c r="L25" s="46">
        <f t="shared" si="1"/>
        <v>0.5</v>
      </c>
      <c r="M25" s="46">
        <f t="shared" si="1"/>
        <v>0.5</v>
      </c>
      <c r="P25" s="26"/>
    </row>
    <row r="26" spans="2:21" x14ac:dyDescent="0.15">
      <c r="B26" s="8" t="s">
        <v>1804</v>
      </c>
      <c r="F26" s="72">
        <v>6.5000000000000002E-2</v>
      </c>
      <c r="G26" s="10">
        <f>$F26*(G18/250)</f>
        <v>6.5000000000000002E-2</v>
      </c>
      <c r="H26" s="10">
        <f t="shared" ref="H26:M26" si="2">$F26*(H18/250)</f>
        <v>6.5000000000000002E-2</v>
      </c>
      <c r="I26" s="10">
        <f t="shared" si="2"/>
        <v>6.5000000000000002E-2</v>
      </c>
      <c r="J26" s="10">
        <f t="shared" si="2"/>
        <v>6.5000000000000002E-2</v>
      </c>
      <c r="K26" s="10">
        <f t="shared" si="2"/>
        <v>6.5000000000000002E-2</v>
      </c>
      <c r="L26" s="10">
        <f t="shared" si="2"/>
        <v>6.5000000000000002E-2</v>
      </c>
      <c r="M26" s="10">
        <f t="shared" si="2"/>
        <v>6.5000000000000002E-2</v>
      </c>
      <c r="P26" s="26"/>
    </row>
    <row r="27" spans="2:21" ht="14" x14ac:dyDescent="0.2">
      <c r="B27" s="8" t="s">
        <v>1805</v>
      </c>
      <c r="C27" s="8"/>
      <c r="D27" s="8"/>
      <c r="E27" s="8"/>
      <c r="F27" s="86">
        <v>4.0000000000000003E-5</v>
      </c>
      <c r="G27" s="93">
        <f t="shared" ref="G27:M27" si="3">$F27*(G18/250)^0.7</f>
        <v>4.0000000000000003E-5</v>
      </c>
      <c r="H27" s="93">
        <f t="shared" si="3"/>
        <v>4.0000000000000003E-5</v>
      </c>
      <c r="I27" s="93">
        <f t="shared" si="3"/>
        <v>4.0000000000000003E-5</v>
      </c>
      <c r="J27" s="93">
        <f t="shared" si="3"/>
        <v>4.0000000000000003E-5</v>
      </c>
      <c r="K27" s="93">
        <f t="shared" si="3"/>
        <v>4.0000000000000003E-5</v>
      </c>
      <c r="L27" s="93">
        <f t="shared" si="3"/>
        <v>4.0000000000000003E-5</v>
      </c>
      <c r="M27" s="93">
        <f t="shared" si="3"/>
        <v>4.0000000000000003E-5</v>
      </c>
      <c r="P27" s="26"/>
    </row>
    <row r="28" spans="2:21" x14ac:dyDescent="0.15">
      <c r="B28" s="8" t="s">
        <v>1806</v>
      </c>
      <c r="C28" s="8"/>
      <c r="D28" s="8"/>
      <c r="E28" s="8"/>
      <c r="F28" s="741">
        <v>0.83299999999999996</v>
      </c>
      <c r="G28" s="10">
        <f t="shared" ref="G28:M28" si="4">$F28</f>
        <v>0.83299999999999996</v>
      </c>
      <c r="H28" s="10">
        <f t="shared" si="4"/>
        <v>0.83299999999999996</v>
      </c>
      <c r="I28" s="10">
        <f t="shared" si="4"/>
        <v>0.83299999999999996</v>
      </c>
      <c r="J28" s="10">
        <f t="shared" si="4"/>
        <v>0.83299999999999996</v>
      </c>
      <c r="K28" s="10">
        <f t="shared" si="4"/>
        <v>0.83299999999999996</v>
      </c>
      <c r="L28" s="10">
        <f t="shared" si="4"/>
        <v>0.83299999999999996</v>
      </c>
      <c r="M28" s="10">
        <f t="shared" si="4"/>
        <v>0.83299999999999996</v>
      </c>
      <c r="P28" s="26"/>
    </row>
    <row r="29" spans="2:21" x14ac:dyDescent="0.15">
      <c r="B29" s="8" t="s">
        <v>1807</v>
      </c>
      <c r="F29" s="1070"/>
      <c r="G29" s="45">
        <f>IF($F$29 = "", 'Vehicle Considerations'!$B$34, $F$29)</f>
        <v>70</v>
      </c>
      <c r="H29" s="45">
        <f>IF($F$29 = "", 'Vehicle Considerations'!$B$34, $F$29)</f>
        <v>70</v>
      </c>
      <c r="I29" s="45">
        <f>IF($F$29 = "", 'Vehicle Considerations'!$B$34, $F$29)</f>
        <v>70</v>
      </c>
      <c r="J29" s="45">
        <f>IF($F$29 = "", 'Vehicle Considerations'!$B$34, $F$29)</f>
        <v>70</v>
      </c>
      <c r="K29" s="45">
        <f>IF($F$29 = "", 'Vehicle Considerations'!$B$34, $F$29)</f>
        <v>70</v>
      </c>
      <c r="L29" s="45">
        <f>IF($F$29 = "", 'Vehicle Considerations'!$B$34, $F$29)</f>
        <v>70</v>
      </c>
      <c r="M29" s="45">
        <f>IF($F$29 = "", 'Vehicle Considerations'!$B$34, $F$29)</f>
        <v>70</v>
      </c>
      <c r="P29" s="26"/>
    </row>
    <row r="30" spans="2:21" x14ac:dyDescent="0.15">
      <c r="B30" s="8" t="s">
        <v>1808</v>
      </c>
      <c r="C30" s="8"/>
      <c r="D30" s="8"/>
      <c r="E30" s="8"/>
      <c r="F30" s="8"/>
      <c r="G30" s="15">
        <f>(G25+G26*G29+G27*G29^3)/G28</f>
        <v>22.533013205282113</v>
      </c>
      <c r="H30" s="15">
        <f t="shared" ref="H30:M30" si="5">(H25+H26*H29+H27*H29^3)/H28</f>
        <v>22.533013205282113</v>
      </c>
      <c r="I30" s="15">
        <f t="shared" si="5"/>
        <v>22.533013205282113</v>
      </c>
      <c r="J30" s="15">
        <f t="shared" si="5"/>
        <v>22.533013205282113</v>
      </c>
      <c r="K30" s="15">
        <f t="shared" si="5"/>
        <v>22.533013205282113</v>
      </c>
      <c r="L30" s="15">
        <f t="shared" si="5"/>
        <v>22.533013205282113</v>
      </c>
      <c r="M30" s="15">
        <f t="shared" si="5"/>
        <v>22.533013205282113</v>
      </c>
      <c r="P30" s="26"/>
    </row>
    <row r="31" spans="2:21" ht="12" customHeight="1" x14ac:dyDescent="0.2">
      <c r="C31" s="16"/>
      <c r="D31" s="16"/>
      <c r="E31" s="16"/>
      <c r="F31" s="16"/>
      <c r="G31" s="123"/>
      <c r="H31" s="123"/>
      <c r="I31" s="123"/>
      <c r="J31" s="123"/>
      <c r="K31" s="123"/>
      <c r="L31" s="123"/>
      <c r="M31" s="389"/>
      <c r="P31" s="26"/>
    </row>
    <row r="32" spans="2:21" ht="16" x14ac:dyDescent="0.2">
      <c r="B32" s="507" t="s">
        <v>1809</v>
      </c>
      <c r="C32" s="16"/>
      <c r="D32" s="16"/>
      <c r="E32" s="16"/>
      <c r="F32" s="16"/>
      <c r="G32" s="123"/>
      <c r="H32" s="123"/>
      <c r="I32" s="123"/>
      <c r="J32" s="123"/>
      <c r="K32" s="123"/>
      <c r="L32" s="123"/>
      <c r="M32" s="389"/>
      <c r="P32" s="26"/>
    </row>
    <row r="33" spans="1:22" x14ac:dyDescent="0.15">
      <c r="B33" s="8" t="s">
        <v>1810</v>
      </c>
      <c r="C33" s="16"/>
      <c r="D33" s="16"/>
      <c r="E33" s="16"/>
      <c r="F33" s="16"/>
      <c r="G33" s="742"/>
      <c r="H33" s="742"/>
      <c r="I33" s="742"/>
      <c r="J33" s="742"/>
      <c r="K33" s="742"/>
      <c r="L33" s="742"/>
      <c r="M33" s="742"/>
      <c r="P33" s="26"/>
    </row>
    <row r="34" spans="1:22" x14ac:dyDescent="0.15">
      <c r="B34" s="8" t="s">
        <v>1811</v>
      </c>
      <c r="G34" s="15">
        <f>'Battery Design'!G15/3</f>
        <v>33.333333333333336</v>
      </c>
      <c r="H34" s="15">
        <f>'Battery Design'!H15/3</f>
        <v>33.333333333333336</v>
      </c>
      <c r="I34" s="15">
        <f>'Battery Design'!I15/3</f>
        <v>33.333333333333336</v>
      </c>
      <c r="J34" s="15">
        <f>'Battery Design'!J15/3</f>
        <v>33.333333333333336</v>
      </c>
      <c r="K34" s="15">
        <f>'Battery Design'!K15/3</f>
        <v>33.333333333333336</v>
      </c>
      <c r="L34" s="15">
        <f>'Battery Design'!L15/3</f>
        <v>33.333333333333336</v>
      </c>
      <c r="M34" s="15">
        <f>'Battery Design'!M15/3</f>
        <v>33.333333333333336</v>
      </c>
      <c r="N34" s="70"/>
      <c r="O34" s="135"/>
      <c r="P34" s="53"/>
      <c r="Q34" s="53"/>
      <c r="R34" s="53"/>
      <c r="S34" s="53"/>
      <c r="T34" s="53"/>
      <c r="U34" s="53"/>
      <c r="V34" s="53"/>
    </row>
    <row r="35" spans="1:22" x14ac:dyDescent="0.15">
      <c r="B35" s="8" t="s">
        <v>1812</v>
      </c>
      <c r="G35" s="3">
        <f t="shared" ref="G35:M35" si="6">G30</f>
        <v>22.533013205282113</v>
      </c>
      <c r="H35" s="3">
        <f t="shared" si="6"/>
        <v>22.533013205282113</v>
      </c>
      <c r="I35" s="3">
        <f t="shared" si="6"/>
        <v>22.533013205282113</v>
      </c>
      <c r="J35" s="3">
        <f t="shared" si="6"/>
        <v>22.533013205282113</v>
      </c>
      <c r="K35" s="3">
        <f t="shared" si="6"/>
        <v>22.533013205282113</v>
      </c>
      <c r="L35" s="3">
        <f t="shared" si="6"/>
        <v>22.533013205282113</v>
      </c>
      <c r="M35" s="3">
        <f t="shared" si="6"/>
        <v>22.533013205282113</v>
      </c>
      <c r="N35" s="823"/>
      <c r="O35" s="3"/>
      <c r="P35" s="3"/>
      <c r="Q35" s="3"/>
      <c r="R35" s="3"/>
      <c r="S35" s="3"/>
      <c r="T35" s="3"/>
      <c r="U35" s="3"/>
      <c r="V35" s="3"/>
    </row>
    <row r="36" spans="1:22" x14ac:dyDescent="0.15">
      <c r="B36" s="8" t="s">
        <v>1813</v>
      </c>
      <c r="G36" s="3">
        <f>IF(G33 = "", MAX(G34:G35), G33)</f>
        <v>33.333333333333336</v>
      </c>
      <c r="H36" s="3">
        <f t="shared" ref="H36:M36" si="7">IF(H33 = "", MAX(H34:H35), H33)</f>
        <v>33.333333333333336</v>
      </c>
      <c r="I36" s="3">
        <f t="shared" si="7"/>
        <v>33.333333333333336</v>
      </c>
      <c r="J36" s="3">
        <f t="shared" si="7"/>
        <v>33.333333333333336</v>
      </c>
      <c r="K36" s="3">
        <f t="shared" si="7"/>
        <v>33.333333333333336</v>
      </c>
      <c r="L36" s="3">
        <f t="shared" si="7"/>
        <v>33.333333333333336</v>
      </c>
      <c r="M36" s="3">
        <f t="shared" si="7"/>
        <v>33.333333333333336</v>
      </c>
      <c r="N36" s="823"/>
      <c r="O36" s="3"/>
      <c r="P36" s="3"/>
      <c r="Q36" s="3"/>
      <c r="R36" s="3"/>
      <c r="S36" s="3"/>
      <c r="T36" s="3"/>
      <c r="U36" s="3"/>
      <c r="V36" s="3"/>
    </row>
    <row r="37" spans="1:22" x14ac:dyDescent="0.15">
      <c r="B37" s="8" t="s">
        <v>1814</v>
      </c>
      <c r="G37" s="28">
        <f ca="1">'Battery Design'!G239/'Battery Design'!G293*'Battery Design'!G31/'Battery Design'!G26^2/'Battery Design'!G30^2</f>
        <v>2.7521979142788065E-2</v>
      </c>
      <c r="H37" s="28">
        <f ca="1">'Battery Design'!H239/'Battery Design'!H293*'Battery Design'!H31/'Battery Design'!H26^2/'Battery Design'!H30^2</f>
        <v>2.7521979142788065E-2</v>
      </c>
      <c r="I37" s="28">
        <f ca="1">'Battery Design'!I239/'Battery Design'!I293*'Battery Design'!I31/'Battery Design'!I26^2/'Battery Design'!I30^2</f>
        <v>2.7521979142788065E-2</v>
      </c>
      <c r="J37" s="28">
        <f ca="1">'Battery Design'!J239/'Battery Design'!J293*'Battery Design'!J31/'Battery Design'!J26^2/'Battery Design'!J30^2</f>
        <v>2.7521979142788065E-2</v>
      </c>
      <c r="K37" s="28">
        <f ca="1">'Battery Design'!K239/'Battery Design'!K293*'Battery Design'!K31/'Battery Design'!K26^2/'Battery Design'!K30^2</f>
        <v>2.7521979142788065E-2</v>
      </c>
      <c r="L37" s="28">
        <f ca="1">'Battery Design'!L239/'Battery Design'!L293*'Battery Design'!L31/'Battery Design'!L26^2/'Battery Design'!L30^2</f>
        <v>2.7521979142788065E-2</v>
      </c>
      <c r="M37" s="28">
        <f ca="1">'Battery Design'!M239/'Battery Design'!M293*'Battery Design'!M31/'Battery Design'!M26^2/'Battery Design'!M30^2</f>
        <v>2.7521979142788065E-2</v>
      </c>
      <c r="N37" s="546"/>
      <c r="O37" s="28"/>
      <c r="P37" s="10"/>
      <c r="Q37" s="10"/>
      <c r="R37" s="10"/>
      <c r="S37" s="10"/>
      <c r="T37" s="10"/>
      <c r="U37" s="10"/>
      <c r="V37" s="10"/>
    </row>
    <row r="38" spans="1:22" x14ac:dyDescent="0.15">
      <c r="B38" t="s">
        <v>1815</v>
      </c>
      <c r="G38" s="2">
        <f ca="1">('Battery Design'!G16+SQRT('Battery Design'!G16^2-4*1000*G36*G37))/2</f>
        <v>367.9732928723717</v>
      </c>
      <c r="H38" s="2">
        <f ca="1">('Battery Design'!H16+SQRT('Battery Design'!H16^2-4*1000*H36*H37))/2</f>
        <v>367.9732928723717</v>
      </c>
      <c r="I38" s="2">
        <f ca="1">('Battery Design'!I16+SQRT('Battery Design'!I16^2-4*1000*I36*I37))/2</f>
        <v>367.9732928723717</v>
      </c>
      <c r="J38" s="2">
        <f ca="1">('Battery Design'!J16+SQRT('Battery Design'!J16^2-4*1000*J36*J37))/2</f>
        <v>367.9732928723717</v>
      </c>
      <c r="K38" s="2">
        <f ca="1">('Battery Design'!K16+SQRT('Battery Design'!K16^2-4*1000*K36*K37))/2</f>
        <v>367.9732928723717</v>
      </c>
      <c r="L38" s="2">
        <f ca="1">('Battery Design'!L16+SQRT('Battery Design'!L16^2-4*1000*L36*L37))/2</f>
        <v>367.9732928723717</v>
      </c>
      <c r="M38" s="2">
        <f ca="1">('Battery Design'!M16+SQRT('Battery Design'!M16^2-4*1000*M36*M37))/2</f>
        <v>367.9732928723717</v>
      </c>
      <c r="N38" s="2"/>
      <c r="O38" s="2"/>
      <c r="P38" s="2"/>
    </row>
    <row r="39" spans="1:22" x14ac:dyDescent="0.15">
      <c r="B39" t="s">
        <v>1816</v>
      </c>
      <c r="G39" s="3">
        <f ca="1">G36*1000/G38</f>
        <v>90.586284328234413</v>
      </c>
      <c r="H39" s="3">
        <f t="shared" ref="H39:M39" ca="1" si="8">H36*1000/H38</f>
        <v>90.586284328234413</v>
      </c>
      <c r="I39" s="3">
        <f t="shared" ca="1" si="8"/>
        <v>90.586284328234413</v>
      </c>
      <c r="J39" s="3">
        <f t="shared" ca="1" si="8"/>
        <v>90.586284328234413</v>
      </c>
      <c r="K39" s="3">
        <f t="shared" ca="1" si="8"/>
        <v>90.586284328234413</v>
      </c>
      <c r="L39" s="3">
        <f t="shared" ca="1" si="8"/>
        <v>90.586284328234413</v>
      </c>
      <c r="M39" s="3">
        <f t="shared" ca="1" si="8"/>
        <v>90.586284328234413</v>
      </c>
      <c r="O39" s="3"/>
      <c r="P39" s="3"/>
    </row>
    <row r="40" spans="1:22" x14ac:dyDescent="0.15">
      <c r="B40" s="8" t="s">
        <v>1817</v>
      </c>
      <c r="G40" s="2">
        <f ca="1">G39^2*G37</f>
        <v>225.84191807719515</v>
      </c>
      <c r="H40" s="2">
        <f t="shared" ref="H40:M40" ca="1" si="9">H39^2*H37</f>
        <v>225.84191807719515</v>
      </c>
      <c r="I40" s="2">
        <f t="shared" ca="1" si="9"/>
        <v>225.84191807719515</v>
      </c>
      <c r="J40" s="2">
        <f t="shared" ca="1" si="9"/>
        <v>225.84191807719515</v>
      </c>
      <c r="K40" s="2">
        <f t="shared" ca="1" si="9"/>
        <v>225.84191807719515</v>
      </c>
      <c r="L40" s="2">
        <f t="shared" ca="1" si="9"/>
        <v>225.84191807719515</v>
      </c>
      <c r="M40" s="2">
        <f t="shared" ca="1" si="9"/>
        <v>225.84191807719515</v>
      </c>
      <c r="O40" s="2"/>
      <c r="P40" s="2"/>
    </row>
    <row r="41" spans="1:22" ht="16.5" customHeight="1" x14ac:dyDescent="0.15">
      <c r="A41" s="8" t="s">
        <v>352</v>
      </c>
      <c r="B41" s="8" t="s">
        <v>1818</v>
      </c>
      <c r="G41" s="3">
        <f ca="1">G36/(G36+G40/1000)*100</f>
        <v>99.327033765325623</v>
      </c>
      <c r="H41" s="3">
        <f t="shared" ref="H41:M41" ca="1" si="10">H36/(H36+H40/1000)*100</f>
        <v>99.327033765325623</v>
      </c>
      <c r="I41" s="3">
        <f t="shared" ca="1" si="10"/>
        <v>99.327033765325623</v>
      </c>
      <c r="J41" s="3">
        <f t="shared" ca="1" si="10"/>
        <v>99.327033765325623</v>
      </c>
      <c r="K41" s="3">
        <f t="shared" ca="1" si="10"/>
        <v>99.327033765325623</v>
      </c>
      <c r="L41" s="3">
        <f t="shared" ca="1" si="10"/>
        <v>99.327033765325623</v>
      </c>
      <c r="M41" s="3">
        <f t="shared" ca="1" si="10"/>
        <v>99.327033765325623</v>
      </c>
      <c r="N41" s="823"/>
      <c r="O41" s="3"/>
      <c r="P41" s="3"/>
    </row>
    <row r="42" spans="1:22" ht="14" x14ac:dyDescent="0.2">
      <c r="B42" s="8" t="s">
        <v>1819</v>
      </c>
      <c r="G42" s="3">
        <f ca="1">G13*(100-G41)/100*1000*3600/G14/G15/1000+G10</f>
        <v>34.469445257107282</v>
      </c>
      <c r="H42" s="3">
        <f t="shared" ref="H42:M42" ca="1" si="11">H13*(100-H41)/100*1000*3600/H14/H15/1000+H10</f>
        <v>34.469445257107282</v>
      </c>
      <c r="I42" s="3">
        <f t="shared" ca="1" si="11"/>
        <v>34.469445257107282</v>
      </c>
      <c r="J42" s="3">
        <f t="shared" ca="1" si="11"/>
        <v>34.469445257107282</v>
      </c>
      <c r="K42" s="3">
        <f t="shared" ca="1" si="11"/>
        <v>34.469445257107282</v>
      </c>
      <c r="L42" s="3">
        <f t="shared" ca="1" si="11"/>
        <v>34.469445257107282</v>
      </c>
      <c r="M42" s="3">
        <f t="shared" ca="1" si="11"/>
        <v>34.469445257107282</v>
      </c>
      <c r="N42" s="88"/>
      <c r="V42" s="3"/>
    </row>
    <row r="44" spans="1:22" ht="15" customHeight="1" x14ac:dyDescent="0.15">
      <c r="B44" s="507" t="s">
        <v>1820</v>
      </c>
    </row>
    <row r="45" spans="1:22" ht="15" customHeight="1" x14ac:dyDescent="0.15">
      <c r="B45" s="225" t="s">
        <v>2401</v>
      </c>
    </row>
    <row r="46" spans="1:22" ht="15" customHeight="1" x14ac:dyDescent="0.15">
      <c r="B46" s="8" t="s">
        <v>1821</v>
      </c>
      <c r="G46" s="28">
        <f ca="1">(('Battery Design'!G141-(Chem!$C$141+Chem!$C$142)+'Battery Design'!G222+'Battery Design'!G223)*'Battery Design'!G116+'Battery Design'!G237)/'Battery Design'!G293*'Battery Design'!G31/'Battery Design'!G26^2/'Battery Design'!G30^2*0.85</f>
        <v>1.3569684448092921E-2</v>
      </c>
      <c r="H46" s="28">
        <f ca="1">(('Battery Design'!H141-(Chem!$C$141+Chem!$C$142)+'Battery Design'!H222+'Battery Design'!H223)*'Battery Design'!H116+'Battery Design'!H237)/'Battery Design'!H293*'Battery Design'!H31/'Battery Design'!H26^2/'Battery Design'!H30^2*0.85</f>
        <v>1.3569684448092921E-2</v>
      </c>
      <c r="I46" s="28">
        <f ca="1">(('Battery Design'!I141-(Chem!$C$141+Chem!$C$142)+'Battery Design'!I222+'Battery Design'!I223)*'Battery Design'!I116+'Battery Design'!I237)/'Battery Design'!I293*'Battery Design'!I31/'Battery Design'!I26^2/'Battery Design'!I30^2*0.85</f>
        <v>1.3569684448092921E-2</v>
      </c>
      <c r="J46" s="28">
        <f ca="1">(('Battery Design'!J141-(Chem!$C$141+Chem!$C$142)+'Battery Design'!J222+'Battery Design'!J223)*'Battery Design'!J116+'Battery Design'!J237)/'Battery Design'!J293*'Battery Design'!J31/'Battery Design'!J26^2/'Battery Design'!J30^2*0.85</f>
        <v>1.3569684448092921E-2</v>
      </c>
      <c r="K46" s="28">
        <f ca="1">(('Battery Design'!K141-(Chem!$C$141+Chem!$C$142)+'Battery Design'!K222+'Battery Design'!K223)*'Battery Design'!K116+'Battery Design'!K237)/'Battery Design'!K293*'Battery Design'!K31/'Battery Design'!K26^2/'Battery Design'!K30^2*0.85</f>
        <v>1.3569684448092921E-2</v>
      </c>
      <c r="L46" s="28">
        <f ca="1">(('Battery Design'!L141-(Chem!$C$141+Chem!$C$142)+'Battery Design'!L222+'Battery Design'!L223)*'Battery Design'!L116+'Battery Design'!L237)/'Battery Design'!L293*'Battery Design'!L31/'Battery Design'!L26^2/'Battery Design'!L30^2*0.85</f>
        <v>1.3569684448092921E-2</v>
      </c>
      <c r="M46" s="28">
        <f ca="1">(('Battery Design'!M141-(Chem!$C$141+Chem!$C$142)+'Battery Design'!M222+'Battery Design'!M223)*'Battery Design'!M116+'Battery Design'!M237)/'Battery Design'!M293*'Battery Design'!M31/'Battery Design'!M26^2/'Battery Design'!M30^2*0.85</f>
        <v>1.3569684448092921E-2</v>
      </c>
    </row>
    <row r="47" spans="1:22" ht="15" customHeight="1" x14ac:dyDescent="0.15">
      <c r="B47" s="8" t="s">
        <v>1822</v>
      </c>
      <c r="G47" s="28">
        <f ca="1">(('Battery Design'!G142-(Chem!$C$141+Chem!$C$142)+'Battery Design'!G222+'Battery Design'!G223)*'Battery Design'!G116+'Battery Design'!G237)/'Battery Design'!G293*'Battery Design'!G31/'Battery Design'!G26^2/'Battery Design'!G30^2*0.85</f>
        <v>2.0934983119297555E-2</v>
      </c>
      <c r="H47" s="28">
        <f ca="1">(('Battery Design'!H142-(Chem!$C$141+Chem!$C$142)+'Battery Design'!H222+'Battery Design'!H223)*'Battery Design'!H116+'Battery Design'!H237)/'Battery Design'!H293*'Battery Design'!H31/'Battery Design'!H26^2/'Battery Design'!H30^2*0.85</f>
        <v>2.0934983119297555E-2</v>
      </c>
      <c r="I47" s="28">
        <f ca="1">(('Battery Design'!I142-(Chem!$C$141+Chem!$C$142)+'Battery Design'!I222+'Battery Design'!I223)*'Battery Design'!I116+'Battery Design'!I237)/'Battery Design'!I293*'Battery Design'!I31/'Battery Design'!I26^2/'Battery Design'!I30^2*0.85</f>
        <v>2.0934983119297555E-2</v>
      </c>
      <c r="J47" s="28">
        <f ca="1">(('Battery Design'!J142-(Chem!$C$141+Chem!$C$142)+'Battery Design'!J222+'Battery Design'!J223)*'Battery Design'!J116+'Battery Design'!J237)/'Battery Design'!J293*'Battery Design'!J31/'Battery Design'!J26^2/'Battery Design'!J30^2*0.85</f>
        <v>2.0934983119297555E-2</v>
      </c>
      <c r="K47" s="28">
        <f ca="1">(('Battery Design'!K142-(Chem!$C$141+Chem!$C$142)+'Battery Design'!K222+'Battery Design'!K223)*'Battery Design'!K116+'Battery Design'!K237)/'Battery Design'!K293*'Battery Design'!K31/'Battery Design'!K26^2/'Battery Design'!K30^2*0.85</f>
        <v>2.0934983119297555E-2</v>
      </c>
      <c r="L47" s="28">
        <f ca="1">(('Battery Design'!L142-(Chem!$C$141+Chem!$C$142)+'Battery Design'!L222+'Battery Design'!L223)*'Battery Design'!L116+'Battery Design'!L237)/'Battery Design'!L293*'Battery Design'!L31/'Battery Design'!L26^2/'Battery Design'!L30^2*0.85</f>
        <v>2.0934983119297555E-2</v>
      </c>
      <c r="M47" s="28">
        <f ca="1">(('Battery Design'!M142-(Chem!$C$141+Chem!$C$142)+'Battery Design'!M222+'Battery Design'!M223)*'Battery Design'!M116+'Battery Design'!M237)/'Battery Design'!M293*'Battery Design'!M31/'Battery Design'!M26^2/'Battery Design'!M30^2*0.85</f>
        <v>2.0934983119297555E-2</v>
      </c>
    </row>
    <row r="48" spans="1:22" ht="15" customHeight="1" x14ac:dyDescent="0.2">
      <c r="B48" s="8" t="s">
        <v>1823</v>
      </c>
      <c r="G48" s="7">
        <f ca="1">'Battery Design'!G282+'Battery Design'!G283+Chem!$C$63</f>
        <v>265.28605121812245</v>
      </c>
      <c r="H48" s="7">
        <f ca="1">'Battery Design'!H282+'Battery Design'!H283+Chem!$C$63</f>
        <v>265.28605121812245</v>
      </c>
      <c r="I48" s="7">
        <f ca="1">'Battery Design'!I282+'Battery Design'!I283+Chem!$C$63</f>
        <v>265.28605121812245</v>
      </c>
      <c r="J48" s="7">
        <f ca="1">'Battery Design'!J282+'Battery Design'!J283+Chem!$C$63</f>
        <v>265.28605121812245</v>
      </c>
      <c r="K48" s="7">
        <f ca="1">'Battery Design'!K282+'Battery Design'!K283+Chem!$C$63</f>
        <v>265.28605121812245</v>
      </c>
      <c r="L48" s="7">
        <f ca="1">'Battery Design'!L282+'Battery Design'!L283+Chem!$C$63</f>
        <v>265.28605121812245</v>
      </c>
      <c r="M48" s="7">
        <f ca="1">'Battery Design'!M282+'Battery Design'!M283+Chem!$C$63</f>
        <v>265.28605121812245</v>
      </c>
    </row>
    <row r="49" spans="2:22" ht="15" customHeight="1" x14ac:dyDescent="0.2">
      <c r="B49" s="8" t="s">
        <v>1824</v>
      </c>
      <c r="G49" s="1120">
        <f ca="1">0.0000000004*G48/(Chem!$C$63/(Chem!$C$64/100)^2.5+'Battery Design'!G282/(Chem!$C$23/100)^2+'Battery Design'!G283/(Chem!$C$53/100)^2.1)</f>
        <v>4.7251625722273747E-11</v>
      </c>
      <c r="H49" s="1120">
        <f ca="1">0.0000000004*H48/(Chem!$C$63/(Chem!$C$64/100)^2.5+'Battery Design'!H282/(Chem!$C$23/100)^2+'Battery Design'!H283/(Chem!$C$53/100)^2.1)</f>
        <v>4.7251625722273747E-11</v>
      </c>
      <c r="I49" s="1120">
        <f ca="1">0.0000000004*I48/(Chem!$C$63/(Chem!$C$64/100)^2.5+'Battery Design'!I282/(Chem!$C$23/100)^2+'Battery Design'!I283/(Chem!$C$53/100)^2.1)</f>
        <v>4.7251625722273747E-11</v>
      </c>
      <c r="J49" s="1120">
        <f ca="1">0.0000000004*J48/(Chem!$C$63/(Chem!$C$64/100)^2.5+'Battery Design'!J282/(Chem!$C$23/100)^2+'Battery Design'!J283/(Chem!$C$53/100)^2.1)</f>
        <v>4.7251625722273747E-11</v>
      </c>
      <c r="K49" s="1120">
        <f ca="1">0.0000000004*K48/(Chem!$C$63/(Chem!$C$64/100)^2.5+'Battery Design'!K282/(Chem!$C$23/100)^2+'Battery Design'!K283/(Chem!$C$53/100)^2.1)</f>
        <v>4.7251625722273747E-11</v>
      </c>
      <c r="L49" s="1120">
        <f ca="1">0.0000000004*L48/(Chem!$C$63/(Chem!$C$64/100)^2.5+'Battery Design'!L282/(Chem!$C$23/100)^2+'Battery Design'!L283/(Chem!$C$53/100)^2.1)</f>
        <v>4.7251625722273747E-11</v>
      </c>
      <c r="M49" s="1120">
        <f ca="1">0.0000000004*M48/(Chem!$C$63/(Chem!$C$64/100)^2.5+'Battery Design'!M282/(Chem!$C$23/100)^2+'Battery Design'!M283/(Chem!$C$53/100)^2.1)</f>
        <v>4.7251625722273747E-11</v>
      </c>
    </row>
    <row r="50" spans="2:22" ht="15" customHeight="1" x14ac:dyDescent="0.15">
      <c r="B50" s="8" t="s">
        <v>1825</v>
      </c>
      <c r="G50" s="1120">
        <f ca="1">G46-G51*EXP(-2*G49*(PI()/(G48/1000000))^2)</f>
        <v>0.15622020273185863</v>
      </c>
      <c r="H50" s="1120">
        <f t="shared" ref="H50:M50" ca="1" si="12">H46-H51*EXP(-2*H49*(PI()/(H48/1000000))^2)</f>
        <v>0.15622020273185863</v>
      </c>
      <c r="I50" s="1120">
        <f t="shared" ca="1" si="12"/>
        <v>0.15622020273185863</v>
      </c>
      <c r="J50" s="1120">
        <f t="shared" ca="1" si="12"/>
        <v>0.15622020273185863</v>
      </c>
      <c r="K50" s="1120">
        <f t="shared" ca="1" si="12"/>
        <v>0.15622020273185863</v>
      </c>
      <c r="L50" s="1120">
        <f t="shared" ca="1" si="12"/>
        <v>0.15622020273185863</v>
      </c>
      <c r="M50" s="1120">
        <f t="shared" ca="1" si="12"/>
        <v>0.15622020273185863</v>
      </c>
    </row>
    <row r="51" spans="2:22" ht="15" customHeight="1" x14ac:dyDescent="0.15">
      <c r="B51" s="8" t="s">
        <v>1826</v>
      </c>
      <c r="G51" s="1121">
        <f ca="1">(G47-G46)/(EXP(-10*G49*(PI()/(G48/1000000))^2)-EXP(-2*G49*(PI()/(G48/1000000))^2))</f>
        <v>-0.14455366413858753</v>
      </c>
      <c r="H51" s="1121">
        <f t="shared" ref="H51:M51" ca="1" si="13">(H47-H46)/(EXP(-10*H49*(PI()/(H48/1000000))^2)-EXP(-2*H49*(PI()/(H48/1000000))^2))</f>
        <v>-0.14455366413858753</v>
      </c>
      <c r="I51" s="1121">
        <f t="shared" ca="1" si="13"/>
        <v>-0.14455366413858753</v>
      </c>
      <c r="J51" s="1121">
        <f t="shared" ca="1" si="13"/>
        <v>-0.14455366413858753</v>
      </c>
      <c r="K51" s="1121">
        <f t="shared" ca="1" si="13"/>
        <v>-0.14455366413858753</v>
      </c>
      <c r="L51" s="1121">
        <f t="shared" ca="1" si="13"/>
        <v>-0.14455366413858753</v>
      </c>
      <c r="M51" s="1121">
        <f t="shared" ca="1" si="13"/>
        <v>-0.14455366413858753</v>
      </c>
    </row>
    <row r="52" spans="2:22" ht="15" customHeight="1" x14ac:dyDescent="0.15">
      <c r="B52" s="8" t="s">
        <v>1827</v>
      </c>
      <c r="G52" s="1121">
        <f ca="1">G50*G17+G51/G49*((G48/1000000)/PI())^2*(1-EXP(-G49*(PI()/(G48/1000000))^2*G17))</f>
        <v>0.1635193864262745</v>
      </c>
      <c r="H52" s="1121">
        <f t="shared" ref="H52:M52" ca="1" si="14">H50*H17+H51/H49*((H48/1000000)/PI())^2*(1-EXP(-H49*(PI()/(H48/1000000))^2*H17))</f>
        <v>0.1635193864262745</v>
      </c>
      <c r="I52" s="1121">
        <f t="shared" ca="1" si="14"/>
        <v>0.1635193864262745</v>
      </c>
      <c r="J52" s="1121">
        <f t="shared" ca="1" si="14"/>
        <v>0.1635193864262745</v>
      </c>
      <c r="K52" s="1121">
        <f t="shared" ca="1" si="14"/>
        <v>0.1635193864262745</v>
      </c>
      <c r="L52" s="1121">
        <f t="shared" ca="1" si="14"/>
        <v>0.1635193864262745</v>
      </c>
      <c r="M52" s="1121">
        <f t="shared" ca="1" si="14"/>
        <v>0.1635193864262745</v>
      </c>
    </row>
    <row r="53" spans="2:22" ht="15" customHeight="1" x14ac:dyDescent="0.15">
      <c r="B53" s="8" t="s">
        <v>1828</v>
      </c>
      <c r="G53" s="91">
        <v>-5000</v>
      </c>
      <c r="H53" s="91">
        <v>-5000</v>
      </c>
      <c r="I53" s="91">
        <v>-5000</v>
      </c>
      <c r="J53" s="91">
        <v>-5000</v>
      </c>
      <c r="K53" s="91">
        <v>-5000</v>
      </c>
      <c r="L53" s="91">
        <v>-5000</v>
      </c>
      <c r="M53" s="91">
        <v>-5000</v>
      </c>
    </row>
    <row r="54" spans="2:22" ht="15" customHeight="1" x14ac:dyDescent="0.15">
      <c r="B54" t="s">
        <v>1815</v>
      </c>
      <c r="G54" s="2">
        <f ca="1">'Battery Design'!G140*'Battery Design'!G31/('Battery Design'!G30*'Battery Design'!G26)*('Battery Design'!G118/100)</f>
        <v>338.49112553201314</v>
      </c>
      <c r="H54" s="2">
        <f ca="1">'Battery Design'!H140*'Battery Design'!H31/('Battery Design'!H30*'Battery Design'!H26)*('Battery Design'!H118/100)</f>
        <v>338.49112553201314</v>
      </c>
      <c r="I54" s="2">
        <f ca="1">'Battery Design'!I140*'Battery Design'!I31/('Battery Design'!I30*'Battery Design'!I26)*('Battery Design'!I118/100)</f>
        <v>338.49112553201314</v>
      </c>
      <c r="J54" s="2">
        <f ca="1">'Battery Design'!J140*'Battery Design'!J31/('Battery Design'!J30*'Battery Design'!J26)*('Battery Design'!J118/100)</f>
        <v>338.49112553201314</v>
      </c>
      <c r="K54" s="2">
        <f ca="1">'Battery Design'!K140*'Battery Design'!K31/('Battery Design'!K30*'Battery Design'!K26)*('Battery Design'!K118/100)</f>
        <v>338.49112553201314</v>
      </c>
      <c r="L54" s="2">
        <f ca="1">'Battery Design'!L140*'Battery Design'!L31/('Battery Design'!L30*'Battery Design'!L26)*('Battery Design'!L118/100)</f>
        <v>338.49112553201314</v>
      </c>
      <c r="M54" s="2">
        <f ca="1">'Battery Design'!M140*'Battery Design'!M31/('Battery Design'!M30*'Battery Design'!M26)*('Battery Design'!M118/100)</f>
        <v>338.49112553201314</v>
      </c>
    </row>
    <row r="55" spans="2:22" ht="15" customHeight="1" x14ac:dyDescent="0.15">
      <c r="B55" t="s">
        <v>1816</v>
      </c>
      <c r="G55" s="3">
        <f ca="1">G16*1000/G54</f>
        <v>886.28616046723266</v>
      </c>
      <c r="H55" s="3">
        <f t="shared" ref="H55:M55" ca="1" si="15">H16*1000/H54</f>
        <v>886.28616046723266</v>
      </c>
      <c r="I55" s="3">
        <f t="shared" ca="1" si="15"/>
        <v>886.28616046723266</v>
      </c>
      <c r="J55" s="3">
        <f t="shared" ca="1" si="15"/>
        <v>886.28616046723266</v>
      </c>
      <c r="K55" s="3">
        <f t="shared" ca="1" si="15"/>
        <v>886.28616046723266</v>
      </c>
      <c r="L55" s="3">
        <f t="shared" ca="1" si="15"/>
        <v>886.28616046723266</v>
      </c>
      <c r="M55" s="3">
        <f t="shared" ca="1" si="15"/>
        <v>886.28616046723266</v>
      </c>
    </row>
    <row r="56" spans="2:22" ht="15" customHeight="1" x14ac:dyDescent="0.15">
      <c r="B56" s="8" t="s">
        <v>1829</v>
      </c>
      <c r="G56" s="28">
        <f ca="1">G10+8.314*(G10+273.15)^2/G53*(EXP(G55^2*G53/G15/(G14*1000)/8.314/(G10+273.15)^2*G52)-1)</f>
        <v>30.278522330167498</v>
      </c>
      <c r="H56" s="28">
        <f t="shared" ref="H56:M56" ca="1" si="16">H10+8.314*(H10+273.15)^2/H53*(EXP(H55^2*H53/H15/(H14*1000)/8.314/(H10+273.15)^2*H52)-1)</f>
        <v>30.278522330167498</v>
      </c>
      <c r="I56" s="7">
        <f t="shared" ca="1" si="16"/>
        <v>30.278522330167498</v>
      </c>
      <c r="J56" s="7">
        <f t="shared" ca="1" si="16"/>
        <v>30.278522330167498</v>
      </c>
      <c r="K56" s="7">
        <f t="shared" ca="1" si="16"/>
        <v>30.278522330167498</v>
      </c>
      <c r="L56" s="7">
        <f t="shared" ca="1" si="16"/>
        <v>30.278522330167498</v>
      </c>
      <c r="M56" s="7">
        <f t="shared" ca="1" si="16"/>
        <v>30.278522330167498</v>
      </c>
    </row>
    <row r="57" spans="2:22" ht="15" customHeight="1" x14ac:dyDescent="0.15">
      <c r="B57" s="507"/>
    </row>
    <row r="58" spans="2:22" ht="15" customHeight="1" x14ac:dyDescent="0.2">
      <c r="B58" s="225" t="s">
        <v>1830</v>
      </c>
    </row>
    <row r="59" spans="2:22" x14ac:dyDescent="0.15">
      <c r="B59" s="8" t="s">
        <v>1814</v>
      </c>
      <c r="G59" s="28">
        <f ca="1">'Battery Design'!G238/'Battery Design'!G293*'Battery Design'!G31/'Battery Design'!G26^2/'Battery Design'!G30^2</f>
        <v>2.4629391905055947E-2</v>
      </c>
      <c r="H59" s="28">
        <f ca="1">'Battery Design'!H238/'Battery Design'!H293*'Battery Design'!H31/'Battery Design'!H26^2/'Battery Design'!H30^2</f>
        <v>2.4629391905055947E-2</v>
      </c>
      <c r="I59" s="28">
        <f ca="1">'Battery Design'!I238/'Battery Design'!I293*'Battery Design'!I31/'Battery Design'!I26^2/'Battery Design'!I30^2</f>
        <v>2.4629391905055947E-2</v>
      </c>
      <c r="J59" s="28">
        <f ca="1">'Battery Design'!J238/'Battery Design'!J293*'Battery Design'!J31/'Battery Design'!J26^2/'Battery Design'!J30^2</f>
        <v>2.4629391905055947E-2</v>
      </c>
      <c r="K59" s="28">
        <f ca="1">'Battery Design'!K238/'Battery Design'!K293*'Battery Design'!K31/'Battery Design'!K26^2/'Battery Design'!K30^2</f>
        <v>2.4629391905055947E-2</v>
      </c>
      <c r="L59" s="28">
        <f ca="1">'Battery Design'!L238/'Battery Design'!L293*'Battery Design'!L31/'Battery Design'!L26^2/'Battery Design'!L30^2</f>
        <v>2.4629391905055947E-2</v>
      </c>
      <c r="M59" s="28">
        <f ca="1">'Battery Design'!M238/'Battery Design'!M293*'Battery Design'!M31/'Battery Design'!M26^2/'Battery Design'!M30^2</f>
        <v>2.4629391905055947E-2</v>
      </c>
      <c r="N59" s="546"/>
      <c r="O59" s="28"/>
      <c r="P59" s="10"/>
      <c r="Q59" s="10"/>
      <c r="R59" s="10"/>
      <c r="S59" s="10"/>
      <c r="T59" s="10"/>
      <c r="U59" s="10"/>
      <c r="V59" s="10"/>
    </row>
    <row r="60" spans="2:22" x14ac:dyDescent="0.15">
      <c r="B60" t="s">
        <v>1831</v>
      </c>
      <c r="G60" s="2">
        <f t="shared" ref="G60:M60" ca="1" si="17">G55^2*G59</f>
        <v>19346.465126847444</v>
      </c>
      <c r="H60" s="2">
        <f t="shared" ca="1" si="17"/>
        <v>19346.465126847444</v>
      </c>
      <c r="I60" s="2">
        <f t="shared" ca="1" si="17"/>
        <v>19346.465126847444</v>
      </c>
      <c r="J60" s="2">
        <f t="shared" ca="1" si="17"/>
        <v>19346.465126847444</v>
      </c>
      <c r="K60" s="2">
        <f t="shared" ca="1" si="17"/>
        <v>19346.465126847444</v>
      </c>
      <c r="L60" s="2">
        <f t="shared" ca="1" si="17"/>
        <v>19346.465126847444</v>
      </c>
      <c r="M60" s="2">
        <f t="shared" ca="1" si="17"/>
        <v>19346.465126847444</v>
      </c>
      <c r="N60" s="2"/>
      <c r="O60" s="2"/>
      <c r="P60" s="2"/>
    </row>
    <row r="61" spans="2:22" x14ac:dyDescent="0.15">
      <c r="B61" s="8" t="s">
        <v>1832</v>
      </c>
      <c r="G61" s="2">
        <f t="shared" ref="G61:M61" ca="1" si="18">G60*G17</f>
        <v>193464.65126847444</v>
      </c>
      <c r="H61" s="2">
        <f t="shared" ca="1" si="18"/>
        <v>193464.65126847444</v>
      </c>
      <c r="I61" s="2">
        <f t="shared" ca="1" si="18"/>
        <v>193464.65126847444</v>
      </c>
      <c r="J61" s="2">
        <f t="shared" ca="1" si="18"/>
        <v>193464.65126847444</v>
      </c>
      <c r="K61" s="2">
        <f t="shared" ca="1" si="18"/>
        <v>193464.65126847444</v>
      </c>
      <c r="L61" s="2">
        <f t="shared" ca="1" si="18"/>
        <v>193464.65126847444</v>
      </c>
      <c r="M61" s="2">
        <f t="shared" ca="1" si="18"/>
        <v>193464.65126847444</v>
      </c>
      <c r="O61" s="3"/>
      <c r="P61" s="3"/>
    </row>
    <row r="62" spans="2:22" x14ac:dyDescent="0.15">
      <c r="B62" s="8" t="s">
        <v>1829</v>
      </c>
      <c r="G62" s="7">
        <f t="shared" ref="G62:M62" ca="1" si="19">G61/(G14*G15*1000)+G10</f>
        <v>30.419894848139634</v>
      </c>
      <c r="H62" s="7">
        <f t="shared" ca="1" si="19"/>
        <v>30.419894848139634</v>
      </c>
      <c r="I62" s="7">
        <f t="shared" ca="1" si="19"/>
        <v>30.419894848139634</v>
      </c>
      <c r="J62" s="7">
        <f t="shared" ca="1" si="19"/>
        <v>30.419894848139634</v>
      </c>
      <c r="K62" s="7">
        <f t="shared" ca="1" si="19"/>
        <v>30.419894848139634</v>
      </c>
      <c r="L62" s="7">
        <f t="shared" ca="1" si="19"/>
        <v>30.419894848139634</v>
      </c>
      <c r="M62" s="7">
        <f t="shared" ca="1" si="19"/>
        <v>30.419894848139634</v>
      </c>
      <c r="O62" s="2"/>
      <c r="P62" s="2"/>
    </row>
    <row r="64" spans="2:22" ht="16" x14ac:dyDescent="0.2">
      <c r="B64" s="5" t="s">
        <v>1833</v>
      </c>
      <c r="N64" s="52"/>
      <c r="O64" s="52"/>
      <c r="P64" s="52"/>
    </row>
    <row r="65" spans="2:16" ht="14" x14ac:dyDescent="0.2">
      <c r="B65" s="8" t="s">
        <v>1834</v>
      </c>
      <c r="G65" s="91">
        <f>50</f>
        <v>50</v>
      </c>
      <c r="H65" s="91">
        <f>50</f>
        <v>50</v>
      </c>
      <c r="I65" s="91">
        <f>50</f>
        <v>50</v>
      </c>
      <c r="J65" s="91">
        <f>50</f>
        <v>50</v>
      </c>
      <c r="K65" s="91">
        <f>50</f>
        <v>50</v>
      </c>
      <c r="L65" s="91">
        <f>50</f>
        <v>50</v>
      </c>
      <c r="M65" s="91">
        <f>50</f>
        <v>50</v>
      </c>
    </row>
    <row r="66" spans="2:16" x14ac:dyDescent="0.15">
      <c r="B66" s="8" t="s">
        <v>1835</v>
      </c>
      <c r="G66" s="45">
        <f>'Battery Design'!G420/10</f>
        <v>1</v>
      </c>
      <c r="H66" s="45">
        <f>'Battery Design'!H420/10</f>
        <v>1</v>
      </c>
      <c r="I66" s="45">
        <f>'Battery Design'!I420/10</f>
        <v>1</v>
      </c>
      <c r="J66" s="45">
        <f>'Battery Design'!J420/10</f>
        <v>1</v>
      </c>
      <c r="K66" s="45">
        <f>'Battery Design'!K420/10</f>
        <v>1</v>
      </c>
      <c r="L66" s="45">
        <f>'Battery Design'!L420/10</f>
        <v>1</v>
      </c>
      <c r="M66" s="45">
        <f>'Battery Design'!M420/10</f>
        <v>1</v>
      </c>
    </row>
    <row r="67" spans="2:16" x14ac:dyDescent="0.15">
      <c r="B67" s="8" t="s">
        <v>1836</v>
      </c>
      <c r="G67" s="2">
        <f ca="1">(2*('Battery Design'!G415-'Battery Design'!G421)*('Battery Design'!G416-'Battery Design'!G421)+2*('Battery Design'!G415-'Battery Design'!G421)*('Battery Design'!G417-'Battery Design'!G421))/100</f>
        <v>60611.788465827733</v>
      </c>
      <c r="H67" s="2">
        <f ca="1">(2*('Battery Design'!H415-'Battery Design'!H421)*('Battery Design'!H416-'Battery Design'!H421)+2*('Battery Design'!H415-'Battery Design'!H421)*('Battery Design'!H417-'Battery Design'!H421))/100</f>
        <v>60611.788465827733</v>
      </c>
      <c r="I67" s="2">
        <f ca="1">(2*('Battery Design'!I415-'Battery Design'!I421)*('Battery Design'!I416-'Battery Design'!I421)+2*('Battery Design'!I415-'Battery Design'!I421)*('Battery Design'!I417-'Battery Design'!I421))/100</f>
        <v>60611.788465827733</v>
      </c>
      <c r="J67" s="2">
        <f ca="1">(2*('Battery Design'!J415-'Battery Design'!J421)*('Battery Design'!J416-'Battery Design'!J421)+2*('Battery Design'!J415-'Battery Design'!J421)*('Battery Design'!J417-'Battery Design'!J421))/100</f>
        <v>60611.788465827733</v>
      </c>
      <c r="K67" s="2">
        <f ca="1">(2*('Battery Design'!K415-'Battery Design'!K421)*('Battery Design'!K416-'Battery Design'!K421)+2*('Battery Design'!K415-'Battery Design'!K421)*('Battery Design'!K417-'Battery Design'!K421))/100</f>
        <v>60611.788465827733</v>
      </c>
      <c r="L67" s="2">
        <f ca="1">(2*('Battery Design'!L415-'Battery Design'!L421)*('Battery Design'!L416-'Battery Design'!L421)+2*('Battery Design'!L415-'Battery Design'!L421)*('Battery Design'!L417-'Battery Design'!L421))/100</f>
        <v>60611.788465827733</v>
      </c>
      <c r="M67" s="2">
        <f ca="1">(2*('Battery Design'!M415-'Battery Design'!M421)*('Battery Design'!M416-'Battery Design'!M421)+2*('Battery Design'!M415-'Battery Design'!M421)*('Battery Design'!M417-'Battery Design'!M421))/100</f>
        <v>60611.788465827733</v>
      </c>
    </row>
    <row r="68" spans="2:16" x14ac:dyDescent="0.15">
      <c r="B68" s="8" t="s">
        <v>1837</v>
      </c>
      <c r="G68" s="39">
        <f>0.00027</f>
        <v>2.7E-4</v>
      </c>
      <c r="H68" s="39">
        <f t="shared" ref="H68:M68" si="20">0.00027</f>
        <v>2.7E-4</v>
      </c>
      <c r="I68" s="39">
        <f t="shared" si="20"/>
        <v>2.7E-4</v>
      </c>
      <c r="J68" s="39">
        <f t="shared" si="20"/>
        <v>2.7E-4</v>
      </c>
      <c r="K68" s="39">
        <f t="shared" si="20"/>
        <v>2.7E-4</v>
      </c>
      <c r="L68" s="39">
        <f t="shared" si="20"/>
        <v>2.7E-4</v>
      </c>
      <c r="M68" s="39">
        <f t="shared" si="20"/>
        <v>2.7E-4</v>
      </c>
    </row>
    <row r="69" spans="2:16" x14ac:dyDescent="0.15">
      <c r="B69" s="8" t="s">
        <v>1838</v>
      </c>
      <c r="G69" s="2">
        <f ca="1">G68*G67/G66*(G65-G10)</f>
        <v>327.3036577154698</v>
      </c>
      <c r="H69" s="2">
        <f t="shared" ref="H69:M69" ca="1" si="21">H68*H67/H66*(H65-H10)</f>
        <v>327.3036577154698</v>
      </c>
      <c r="I69" s="2">
        <f t="shared" ca="1" si="21"/>
        <v>327.3036577154698</v>
      </c>
      <c r="J69" s="2">
        <f t="shared" ca="1" si="21"/>
        <v>327.3036577154698</v>
      </c>
      <c r="K69" s="2">
        <f t="shared" ca="1" si="21"/>
        <v>327.3036577154698</v>
      </c>
      <c r="L69" s="2">
        <f t="shared" ca="1" si="21"/>
        <v>327.3036577154698</v>
      </c>
      <c r="M69" s="2">
        <f t="shared" ca="1" si="21"/>
        <v>327.3036577154698</v>
      </c>
    </row>
    <row r="70" spans="2:16" x14ac:dyDescent="0.15">
      <c r="B70" s="8"/>
      <c r="G70" s="2"/>
      <c r="H70" s="2"/>
      <c r="I70" s="2"/>
      <c r="J70" s="2"/>
      <c r="K70" s="2"/>
      <c r="L70" s="2"/>
      <c r="M70" s="2"/>
    </row>
    <row r="71" spans="2:16" ht="16" x14ac:dyDescent="0.2">
      <c r="B71" s="5" t="s">
        <v>1839</v>
      </c>
      <c r="G71" s="2"/>
      <c r="H71" s="2"/>
      <c r="I71" s="2"/>
      <c r="J71" s="2"/>
      <c r="K71" s="2"/>
      <c r="L71" s="2"/>
      <c r="M71" s="2"/>
    </row>
    <row r="72" spans="2:16" x14ac:dyDescent="0.15">
      <c r="B72" s="8" t="s">
        <v>1840</v>
      </c>
      <c r="G72" s="742"/>
      <c r="H72" s="742"/>
      <c r="I72" s="742"/>
      <c r="J72" s="742"/>
      <c r="K72" s="742"/>
      <c r="L72" s="742"/>
      <c r="M72" s="742"/>
      <c r="O72" s="46"/>
      <c r="P72" s="46"/>
    </row>
    <row r="73" spans="2:16" x14ac:dyDescent="0.15">
      <c r="B73" s="8" t="s">
        <v>1841</v>
      </c>
      <c r="C73" s="8"/>
      <c r="D73" s="8"/>
      <c r="E73" s="8"/>
      <c r="F73" s="8"/>
      <c r="G73" s="11">
        <f ca="1">(G40+G69)*'Battery Design'!G12</f>
        <v>553.14557579266489</v>
      </c>
      <c r="H73" s="11">
        <f ca="1">(H40+H69)*'Battery Design'!H12</f>
        <v>553.14557579266489</v>
      </c>
      <c r="I73" s="11">
        <f ca="1">(I40+I69)*'Battery Design'!I12</f>
        <v>553.14557579266489</v>
      </c>
      <c r="J73" s="11">
        <f ca="1">(J40+J69)*'Battery Design'!J12</f>
        <v>553.14557579266489</v>
      </c>
      <c r="K73" s="11">
        <f ca="1">(K40+K69)*'Battery Design'!K12</f>
        <v>553.14557579266489</v>
      </c>
      <c r="L73" s="11">
        <f ca="1">(L40+L69)*'Battery Design'!L12</f>
        <v>553.14557579266489</v>
      </c>
      <c r="M73" s="11">
        <f ca="1">(M40+M69)*'Battery Design'!M12</f>
        <v>553.14557579266489</v>
      </c>
      <c r="N73" s="46"/>
      <c r="O73" s="46"/>
      <c r="P73" s="46"/>
    </row>
    <row r="74" spans="2:16" x14ac:dyDescent="0.15">
      <c r="B74" s="8" t="s">
        <v>1842</v>
      </c>
      <c r="C74" s="8"/>
      <c r="D74" s="8"/>
      <c r="E74" s="8"/>
      <c r="F74" s="8"/>
      <c r="G74" s="11">
        <f ca="1">IF(G72=0,MAX(IF(AND('Vehicle Considerations'!$B$30, Dashboard!$D$36= "Yes"), $C$184/1.5,$C$181/2),  G73), G72)</f>
        <v>553.14557579266489</v>
      </c>
      <c r="H74" s="11">
        <f ca="1">IF(H72=0,MAX(IF(AND('Vehicle Considerations'!$B$30, Dashboard!$D$36= "Yes"), $C$184/1.5,$C$181/2),  H73), H72)</f>
        <v>553.14557579266489</v>
      </c>
      <c r="I74" s="11">
        <f ca="1">IF(I72=0,MAX(IF(AND('Vehicle Considerations'!$B$30, Dashboard!$D$36= "Yes"), $C$184/1.5,$C$181/2),  I73), I72)</f>
        <v>553.14557579266489</v>
      </c>
      <c r="J74" s="11">
        <f ca="1">IF(J72=0,MAX(IF(AND('Vehicle Considerations'!$B$30, Dashboard!$D$36= "Yes"), $C$184/1.5,$C$181/2),  J73), J72)</f>
        <v>553.14557579266489</v>
      </c>
      <c r="K74" s="11">
        <f ca="1">IF(K72=0,MAX(IF(AND('Vehicle Considerations'!$B$30, Dashboard!$D$36= "Yes"), $C$184/1.5,$C$181/2),  K73), K72)</f>
        <v>553.14557579266489</v>
      </c>
      <c r="L74" s="11">
        <f ca="1">IF(L72=0,MAX(IF(AND('Vehicle Considerations'!$B$30, Dashboard!$D$36= "Yes"), $C$184/1.5,$C$181/2),  L73), L72)</f>
        <v>553.14557579266489</v>
      </c>
      <c r="M74" s="11">
        <f ca="1">IF(M72=0,MAX(IF(AND('Vehicle Considerations'!$B$30, Dashboard!$D$36= "Yes"), $C$184/1.5,$C$181/2),  M73), M72)</f>
        <v>553.14557579266489</v>
      </c>
      <c r="N74" s="823"/>
      <c r="O74" s="11"/>
      <c r="P74" s="11"/>
    </row>
    <row r="75" spans="2:16" ht="14" thickBot="1" x14ac:dyDescent="0.2">
      <c r="B75" s="8"/>
      <c r="G75" s="2"/>
      <c r="H75" s="2"/>
      <c r="I75" s="2"/>
      <c r="J75" s="2"/>
      <c r="K75" s="2"/>
      <c r="L75" s="2"/>
      <c r="M75" s="2"/>
    </row>
    <row r="76" spans="2:16" ht="21" thickBot="1" x14ac:dyDescent="0.25">
      <c r="B76" s="1262" t="s">
        <v>1843</v>
      </c>
      <c r="C76" s="1263"/>
      <c r="D76" s="1263"/>
      <c r="E76" s="1263"/>
      <c r="F76" s="1263"/>
      <c r="G76" s="1263"/>
      <c r="H76" s="1263"/>
      <c r="I76" s="1263"/>
      <c r="J76" s="1263"/>
      <c r="K76" s="1263"/>
      <c r="L76" s="1263"/>
      <c r="M76" s="1264"/>
    </row>
    <row r="77" spans="2:16" ht="13.5" customHeight="1" x14ac:dyDescent="0.2">
      <c r="B77" s="555"/>
      <c r="C77" s="555"/>
      <c r="D77" s="555"/>
      <c r="E77" s="555"/>
      <c r="F77" s="555"/>
      <c r="G77" s="555"/>
      <c r="H77" s="555"/>
      <c r="I77" s="555"/>
      <c r="J77" s="555"/>
      <c r="K77" s="555"/>
      <c r="L77" s="555"/>
      <c r="M77" s="555"/>
    </row>
    <row r="78" spans="2:16" ht="16" x14ac:dyDescent="0.2">
      <c r="B78" s="5" t="s">
        <v>1844</v>
      </c>
      <c r="C78" s="8"/>
      <c r="D78" s="8"/>
      <c r="E78" s="8"/>
      <c r="F78" s="8"/>
      <c r="G78" s="11"/>
      <c r="H78" s="11"/>
      <c r="I78" s="11"/>
      <c r="J78" s="11"/>
      <c r="K78" s="11"/>
      <c r="L78" s="11"/>
      <c r="M78" s="11"/>
    </row>
    <row r="79" spans="2:16" ht="14" x14ac:dyDescent="0.15">
      <c r="B79" s="507" t="s">
        <v>1845</v>
      </c>
      <c r="G79" s="3"/>
      <c r="H79" s="3"/>
      <c r="I79" s="3"/>
      <c r="J79" s="3"/>
      <c r="K79" s="3"/>
      <c r="L79" s="3"/>
      <c r="M79" s="3"/>
    </row>
    <row r="80" spans="2:16" ht="14" x14ac:dyDescent="0.2">
      <c r="B80" s="8" t="s">
        <v>1846</v>
      </c>
      <c r="G80" s="3">
        <f>'Battery Design'!$E63</f>
        <v>20</v>
      </c>
      <c r="H80" s="3">
        <f>'Battery Design'!$E63</f>
        <v>20</v>
      </c>
      <c r="I80" s="3">
        <f>'Battery Design'!$E63</f>
        <v>20</v>
      </c>
      <c r="J80" s="3">
        <f>'Battery Design'!$E63</f>
        <v>20</v>
      </c>
      <c r="K80" s="3">
        <f>'Battery Design'!$E63</f>
        <v>20</v>
      </c>
      <c r="L80" s="3">
        <f>'Battery Design'!$E63</f>
        <v>20</v>
      </c>
      <c r="M80" s="3">
        <f>'Battery Design'!$E63</f>
        <v>20</v>
      </c>
    </row>
    <row r="81" spans="2:21" x14ac:dyDescent="0.15">
      <c r="B81" s="8" t="s">
        <v>1847</v>
      </c>
      <c r="G81" s="3">
        <f>'Battery Design'!$E64</f>
        <v>15</v>
      </c>
      <c r="H81" s="3">
        <f>'Battery Design'!$E64</f>
        <v>15</v>
      </c>
      <c r="I81" s="3">
        <f>'Battery Design'!$E64</f>
        <v>15</v>
      </c>
      <c r="J81" s="3">
        <f>'Battery Design'!$E64</f>
        <v>15</v>
      </c>
      <c r="K81" s="3">
        <f>'Battery Design'!$E64</f>
        <v>15</v>
      </c>
      <c r="L81" s="3">
        <f>'Battery Design'!$E64</f>
        <v>15</v>
      </c>
      <c r="M81" s="3">
        <f>'Battery Design'!$E64</f>
        <v>15</v>
      </c>
    </row>
    <row r="82" spans="2:21" x14ac:dyDescent="0.15">
      <c r="B82" s="8" t="s">
        <v>1848</v>
      </c>
      <c r="G82" s="3">
        <f ca="1">'Battery Design'!G282</f>
        <v>120</v>
      </c>
      <c r="H82" s="3">
        <f ca="1">'Battery Design'!H282</f>
        <v>120</v>
      </c>
      <c r="I82" s="3">
        <f ca="1">'Battery Design'!I282</f>
        <v>120</v>
      </c>
      <c r="J82" s="3">
        <f ca="1">'Battery Design'!J282</f>
        <v>120</v>
      </c>
      <c r="K82" s="3">
        <f ca="1">'Battery Design'!K282</f>
        <v>120</v>
      </c>
      <c r="L82" s="3">
        <f ca="1">'Battery Design'!L282</f>
        <v>120</v>
      </c>
      <c r="M82" s="3">
        <f ca="1">'Battery Design'!M282</f>
        <v>120</v>
      </c>
    </row>
    <row r="83" spans="2:21" x14ac:dyDescent="0.15">
      <c r="B83" s="8" t="s">
        <v>1849</v>
      </c>
      <c r="G83" s="3">
        <f ca="1">'Battery Design'!G283</f>
        <v>130.28605121812248</v>
      </c>
      <c r="H83" s="3">
        <f ca="1">'Battery Design'!H283</f>
        <v>130.28605121812248</v>
      </c>
      <c r="I83" s="3">
        <f ca="1">'Battery Design'!I283</f>
        <v>130.28605121812248</v>
      </c>
      <c r="J83" s="3">
        <f ca="1">'Battery Design'!J283</f>
        <v>130.28605121812248</v>
      </c>
      <c r="K83" s="3">
        <f ca="1">'Battery Design'!K283</f>
        <v>130.28605121812248</v>
      </c>
      <c r="L83" s="3">
        <f ca="1">'Battery Design'!L283</f>
        <v>130.28605121812248</v>
      </c>
      <c r="M83" s="3">
        <f ca="1">'Battery Design'!M283</f>
        <v>130.28605121812248</v>
      </c>
    </row>
    <row r="84" spans="2:21" x14ac:dyDescent="0.15">
      <c r="B84" s="8" t="s">
        <v>1850</v>
      </c>
      <c r="G84" s="3">
        <f>'Battery Design'!$E65</f>
        <v>15</v>
      </c>
      <c r="H84" s="3">
        <f>'Battery Design'!$E65</f>
        <v>15</v>
      </c>
      <c r="I84" s="3">
        <f>'Battery Design'!$E65</f>
        <v>15</v>
      </c>
      <c r="J84" s="3">
        <f>'Battery Design'!$E65</f>
        <v>15</v>
      </c>
      <c r="K84" s="3">
        <f>'Battery Design'!$E65</f>
        <v>15</v>
      </c>
      <c r="L84" s="3">
        <f>'Battery Design'!$E65</f>
        <v>15</v>
      </c>
      <c r="M84" s="3">
        <f>'Battery Design'!$E65</f>
        <v>15</v>
      </c>
    </row>
    <row r="85" spans="2:21" x14ac:dyDescent="0.15">
      <c r="B85" s="8" t="s">
        <v>1851</v>
      </c>
      <c r="G85" s="3">
        <f t="shared" ref="G85:M85" ca="1" si="22">G80+G81+2*(G82+G83+G84)</f>
        <v>565.5721024362449</v>
      </c>
      <c r="H85" s="3">
        <f t="shared" ca="1" si="22"/>
        <v>565.5721024362449</v>
      </c>
      <c r="I85" s="3">
        <f t="shared" ca="1" si="22"/>
        <v>565.5721024362449</v>
      </c>
      <c r="J85" s="3">
        <f t="shared" ca="1" si="22"/>
        <v>565.5721024362449</v>
      </c>
      <c r="K85" s="3">
        <f t="shared" ca="1" si="22"/>
        <v>565.5721024362449</v>
      </c>
      <c r="L85" s="3">
        <f t="shared" ca="1" si="22"/>
        <v>565.5721024362449</v>
      </c>
      <c r="M85" s="3">
        <f t="shared" ca="1" si="22"/>
        <v>565.5721024362449</v>
      </c>
    </row>
    <row r="86" spans="2:21" x14ac:dyDescent="0.15">
      <c r="B86" s="8"/>
      <c r="G86" s="3"/>
      <c r="H86" s="3"/>
      <c r="I86" s="3"/>
      <c r="J86" s="3"/>
      <c r="K86" s="3"/>
      <c r="L86" s="3"/>
      <c r="M86" s="3"/>
    </row>
    <row r="87" spans="2:21" ht="14" x14ac:dyDescent="0.15">
      <c r="B87" s="507" t="s">
        <v>1852</v>
      </c>
      <c r="C87" s="8"/>
      <c r="D87" s="66"/>
      <c r="E87" s="66"/>
      <c r="F87" s="66"/>
      <c r="G87" s="66"/>
      <c r="H87" s="66"/>
      <c r="I87" s="66"/>
      <c r="J87" s="66"/>
      <c r="K87" s="66"/>
      <c r="L87" s="66"/>
      <c r="M87" s="66"/>
    </row>
    <row r="88" spans="2:21" x14ac:dyDescent="0.15">
      <c r="B88" s="8" t="s">
        <v>1853</v>
      </c>
      <c r="C88" s="8"/>
      <c r="D88" s="8"/>
      <c r="E88" s="8"/>
      <c r="F88" s="66"/>
      <c r="G88" s="66">
        <f>IF(Chem!$C$31 = "Aluminum", _therm_cond_Al, _therm_cond_Cu)</f>
        <v>2</v>
      </c>
      <c r="H88" s="66">
        <f>IF(Chem!$C$31 = "Aluminum", _therm_cond_Al, _therm_cond_Cu)</f>
        <v>2</v>
      </c>
      <c r="I88" s="66">
        <f>IF(Chem!$C$31 = "Aluminum", _therm_cond_Al, _therm_cond_Cu)</f>
        <v>2</v>
      </c>
      <c r="J88" s="66">
        <f>IF(Chem!$C$31 = "Aluminum", _therm_cond_Al, _therm_cond_Cu)</f>
        <v>2</v>
      </c>
      <c r="K88" s="66">
        <f>IF(Chem!$C$31 = "Aluminum", _therm_cond_Al, _therm_cond_Cu)</f>
        <v>2</v>
      </c>
      <c r="L88" s="66">
        <f>IF(Chem!$C$31 = "Aluminum", _therm_cond_Al, _therm_cond_Cu)</f>
        <v>2</v>
      </c>
      <c r="M88" s="66">
        <f>IF(Chem!$C$31 = "Aluminum", _therm_cond_Al, _therm_cond_Cu)</f>
        <v>2</v>
      </c>
      <c r="N88" s="68"/>
    </row>
    <row r="89" spans="2:21" x14ac:dyDescent="0.15">
      <c r="B89" s="8" t="s">
        <v>1854</v>
      </c>
      <c r="C89" s="8"/>
      <c r="D89" s="8"/>
      <c r="E89" s="8"/>
      <c r="F89" s="66"/>
      <c r="G89" s="66">
        <f>IF(Chem!$C$59 = "Aluminum", _therm_cond_Al, _therm_cond_Cu)</f>
        <v>3.8</v>
      </c>
      <c r="H89" s="66">
        <f>IF(Chem!$C$59 = "Aluminum", _therm_cond_Al, _therm_cond_Cu)</f>
        <v>3.8</v>
      </c>
      <c r="I89" s="66">
        <f>IF(Chem!$C$59 = "Aluminum", _therm_cond_Al, _therm_cond_Cu)</f>
        <v>3.8</v>
      </c>
      <c r="J89" s="66">
        <f>IF(Chem!$C$59 = "Aluminum", _therm_cond_Al, _therm_cond_Cu)</f>
        <v>3.8</v>
      </c>
      <c r="K89" s="66">
        <f>IF(Chem!$C$59 = "Aluminum", _therm_cond_Al, _therm_cond_Cu)</f>
        <v>3.8</v>
      </c>
      <c r="L89" s="66">
        <f>IF(Chem!$C$59 = "Aluminum", _therm_cond_Al, _therm_cond_Cu)</f>
        <v>3.8</v>
      </c>
      <c r="M89" s="66">
        <f>IF(Chem!$C$59 = "Aluminum", _therm_cond_Al, _therm_cond_Cu)</f>
        <v>3.8</v>
      </c>
      <c r="N89" s="68"/>
    </row>
    <row r="90" spans="2:21" x14ac:dyDescent="0.15">
      <c r="B90" s="8" t="s">
        <v>1855</v>
      </c>
      <c r="C90" s="8"/>
      <c r="D90" s="8"/>
      <c r="E90" s="8"/>
      <c r="F90" s="66"/>
      <c r="G90" s="743">
        <v>1.2999999999999999E-2</v>
      </c>
      <c r="H90" s="743">
        <v>1.2999999999999999E-2</v>
      </c>
      <c r="I90" s="743">
        <v>1.2999999999999999E-2</v>
      </c>
      <c r="J90" s="743">
        <v>1.2999999999999999E-2</v>
      </c>
      <c r="K90" s="743">
        <v>1.2999999999999999E-2</v>
      </c>
      <c r="L90" s="743">
        <v>1.2999999999999999E-2</v>
      </c>
      <c r="M90" s="743">
        <v>1.2999999999999999E-2</v>
      </c>
    </row>
    <row r="91" spans="2:21" x14ac:dyDescent="0.15">
      <c r="B91" s="8" t="s">
        <v>1856</v>
      </c>
      <c r="C91" s="8"/>
      <c r="D91" s="8"/>
      <c r="E91" s="8"/>
      <c r="F91" s="66"/>
      <c r="G91" s="743">
        <v>1.2999999999999999E-2</v>
      </c>
      <c r="H91" s="743">
        <v>1.2999999999999999E-2</v>
      </c>
      <c r="I91" s="743">
        <v>1.2999999999999999E-2</v>
      </c>
      <c r="J91" s="743">
        <v>1.2999999999999999E-2</v>
      </c>
      <c r="K91" s="743">
        <v>1.2999999999999999E-2</v>
      </c>
      <c r="L91" s="743">
        <v>1.2999999999999999E-2</v>
      </c>
      <c r="M91" s="743">
        <v>1.2999999999999999E-2</v>
      </c>
    </row>
    <row r="92" spans="2:21" x14ac:dyDescent="0.15">
      <c r="B92" s="8" t="s">
        <v>1857</v>
      </c>
      <c r="C92" s="8"/>
      <c r="D92" s="8"/>
      <c r="E92" s="8"/>
      <c r="F92" s="66"/>
      <c r="G92" s="744">
        <v>2E-3</v>
      </c>
      <c r="H92" s="744">
        <v>2E-3</v>
      </c>
      <c r="I92" s="744">
        <v>2E-3</v>
      </c>
      <c r="J92" s="744">
        <v>2E-3</v>
      </c>
      <c r="K92" s="744">
        <v>2E-3</v>
      </c>
      <c r="L92" s="744">
        <v>2E-3</v>
      </c>
      <c r="M92" s="744">
        <v>2E-3</v>
      </c>
    </row>
    <row r="93" spans="2:21" x14ac:dyDescent="0.15">
      <c r="B93" s="8" t="s">
        <v>1858</v>
      </c>
      <c r="F93" s="35"/>
      <c r="G93" s="38">
        <f t="shared" ref="G93:M93" si="23">0.01</f>
        <v>0.01</v>
      </c>
      <c r="H93" s="38">
        <f t="shared" si="23"/>
        <v>0.01</v>
      </c>
      <c r="I93" s="38">
        <f t="shared" si="23"/>
        <v>0.01</v>
      </c>
      <c r="J93" s="38">
        <f t="shared" si="23"/>
        <v>0.01</v>
      </c>
      <c r="K93" s="38">
        <f t="shared" si="23"/>
        <v>0.01</v>
      </c>
      <c r="L93" s="38">
        <f t="shared" si="23"/>
        <v>0.01</v>
      </c>
      <c r="M93" s="38">
        <f t="shared" si="23"/>
        <v>0.01</v>
      </c>
    </row>
    <row r="94" spans="2:21" x14ac:dyDescent="0.15">
      <c r="B94" s="8" t="s">
        <v>1859</v>
      </c>
      <c r="C94" s="54"/>
      <c r="D94" s="54"/>
      <c r="E94" s="54"/>
      <c r="F94" s="66"/>
      <c r="G94" s="224">
        <f t="shared" ref="G94:M94" ca="1" si="24">G85/(G80/G88+G81/G89+2*(G82/G90+G83/G91+G84/G92))</f>
        <v>1.0567590670874549E-2</v>
      </c>
      <c r="H94" s="224">
        <f t="shared" ca="1" si="24"/>
        <v>1.0567590670874549E-2</v>
      </c>
      <c r="I94" s="224">
        <f t="shared" ca="1" si="24"/>
        <v>1.0567590670874549E-2</v>
      </c>
      <c r="J94" s="224">
        <f t="shared" ca="1" si="24"/>
        <v>1.0567590670874549E-2</v>
      </c>
      <c r="K94" s="224">
        <f t="shared" ca="1" si="24"/>
        <v>1.0567590670874549E-2</v>
      </c>
      <c r="L94" s="224">
        <f t="shared" ca="1" si="24"/>
        <v>1.0567590670874549E-2</v>
      </c>
      <c r="M94" s="224">
        <f t="shared" ca="1" si="24"/>
        <v>1.0567590670874549E-2</v>
      </c>
      <c r="N94" s="68"/>
    </row>
    <row r="95" spans="2:21" x14ac:dyDescent="0.15">
      <c r="B95" s="8" t="s">
        <v>1860</v>
      </c>
      <c r="C95" s="54"/>
      <c r="D95" s="54"/>
      <c r="E95" s="54"/>
      <c r="F95" s="66"/>
      <c r="G95" s="224">
        <f t="shared" ref="G95:M95" ca="1" si="25">(G88*G80+G89*G81+2*(G90*G82+G91*G83+G92*G84))/G85</f>
        <v>0.18311977709923555</v>
      </c>
      <c r="H95" s="224">
        <f t="shared" ca="1" si="25"/>
        <v>0.18311977709923555</v>
      </c>
      <c r="I95" s="224">
        <f t="shared" ca="1" si="25"/>
        <v>0.18311977709923555</v>
      </c>
      <c r="J95" s="224">
        <f t="shared" ca="1" si="25"/>
        <v>0.18311977709923555</v>
      </c>
      <c r="K95" s="224">
        <f t="shared" ca="1" si="25"/>
        <v>0.18311977709923555</v>
      </c>
      <c r="L95" s="224">
        <f t="shared" ca="1" si="25"/>
        <v>0.18311977709923555</v>
      </c>
      <c r="M95" s="224">
        <f t="shared" ca="1" si="25"/>
        <v>0.18311977709923555</v>
      </c>
    </row>
    <row r="96" spans="2:21" ht="16" x14ac:dyDescent="0.2">
      <c r="B96" s="8" t="s">
        <v>1861</v>
      </c>
      <c r="G96" s="45">
        <v>2.5999999999999998E-4</v>
      </c>
      <c r="H96" s="45">
        <v>2.5999999999999998E-4</v>
      </c>
      <c r="I96" s="45">
        <v>2.5999999999999998E-4</v>
      </c>
      <c r="J96" s="45">
        <v>2.5999999999999998E-4</v>
      </c>
      <c r="K96" s="45">
        <v>2.5999999999999998E-4</v>
      </c>
      <c r="L96" s="45">
        <v>2.5999999999999998E-4</v>
      </c>
      <c r="M96" s="45">
        <v>2.5999999999999998E-4</v>
      </c>
      <c r="N96" s="6"/>
      <c r="O96" s="6"/>
      <c r="P96" s="6"/>
      <c r="Q96" s="6"/>
      <c r="R96" s="6"/>
      <c r="S96" s="6"/>
      <c r="T96" s="6"/>
      <c r="U96" s="6"/>
    </row>
    <row r="97" spans="2:23" x14ac:dyDescent="0.15">
      <c r="B97" s="8" t="s">
        <v>1862</v>
      </c>
      <c r="C97" s="54"/>
      <c r="D97" s="54"/>
      <c r="E97" s="54"/>
      <c r="F97" s="66"/>
      <c r="G97" s="744">
        <v>4.3E-3</v>
      </c>
      <c r="H97" s="744">
        <v>4.3E-3</v>
      </c>
      <c r="I97" s="744">
        <v>4.3E-3</v>
      </c>
      <c r="J97" s="744">
        <v>4.3E-3</v>
      </c>
      <c r="K97" s="744">
        <v>4.3E-3</v>
      </c>
      <c r="L97" s="744">
        <v>4.3E-3</v>
      </c>
      <c r="M97" s="744">
        <v>4.3E-3</v>
      </c>
    </row>
    <row r="98" spans="2:23" x14ac:dyDescent="0.15">
      <c r="B98" s="8"/>
      <c r="C98" s="54"/>
      <c r="D98" s="54"/>
      <c r="E98" s="54"/>
      <c r="F98" s="66"/>
      <c r="G98" s="378"/>
      <c r="H98" s="378"/>
      <c r="I98" s="378"/>
      <c r="J98" s="378"/>
      <c r="K98" s="378"/>
      <c r="L98" s="378"/>
      <c r="M98" s="378"/>
    </row>
    <row r="99" spans="2:23" ht="16" x14ac:dyDescent="0.2">
      <c r="B99" s="5" t="s">
        <v>1863</v>
      </c>
      <c r="F99" s="35"/>
      <c r="G99" s="3"/>
      <c r="H99" s="3"/>
      <c r="I99" s="3"/>
      <c r="J99" s="3"/>
      <c r="K99" s="3"/>
      <c r="L99" s="3"/>
      <c r="M99" s="3"/>
      <c r="V99" s="3"/>
    </row>
    <row r="100" spans="2:23" ht="14" x14ac:dyDescent="0.15">
      <c r="B100" s="507" t="s">
        <v>1864</v>
      </c>
      <c r="F100" s="35"/>
      <c r="G100" s="3"/>
      <c r="H100" s="3"/>
      <c r="I100" s="3"/>
      <c r="J100" s="3"/>
      <c r="K100" s="3"/>
      <c r="L100" s="3"/>
      <c r="M100" s="3"/>
      <c r="V100" s="3"/>
    </row>
    <row r="101" spans="2:23" x14ac:dyDescent="0.15">
      <c r="B101" s="8" t="s">
        <v>1865</v>
      </c>
      <c r="D101" s="2"/>
      <c r="F101" s="61"/>
      <c r="G101" s="7">
        <f ca="1">G40/'Battery Design'!G31</f>
        <v>0.5646047951929879</v>
      </c>
      <c r="H101" s="7">
        <f ca="1">H40/'Battery Design'!H31</f>
        <v>0.5646047951929879</v>
      </c>
      <c r="I101" s="7">
        <f ca="1">I40/'Battery Design'!I31</f>
        <v>0.5646047951929879</v>
      </c>
      <c r="J101" s="7">
        <f ca="1">J40/'Battery Design'!J31</f>
        <v>0.5646047951929879</v>
      </c>
      <c r="K101" s="7">
        <f ca="1">K40/'Battery Design'!K31</f>
        <v>0.5646047951929879</v>
      </c>
      <c r="L101" s="7">
        <f ca="1">L40/'Battery Design'!L31</f>
        <v>0.5646047951929879</v>
      </c>
      <c r="M101" s="7">
        <f ca="1">M40/'Battery Design'!M31</f>
        <v>0.5646047951929879</v>
      </c>
      <c r="V101" s="7"/>
      <c r="W101" s="7"/>
    </row>
    <row r="102" spans="2:23" x14ac:dyDescent="0.15">
      <c r="B102" s="8" t="s">
        <v>1866</v>
      </c>
      <c r="D102" s="2"/>
      <c r="F102" s="61"/>
      <c r="G102" s="7">
        <f ca="1">'Battery Design'!G340/10</f>
        <v>23.280296135945665</v>
      </c>
      <c r="H102" s="7">
        <f ca="1">'Battery Design'!H340/10</f>
        <v>23.280296135945665</v>
      </c>
      <c r="I102" s="7">
        <f ca="1">'Battery Design'!I340/10</f>
        <v>23.280296135945665</v>
      </c>
      <c r="J102" s="7">
        <f ca="1">'Battery Design'!J340/10</f>
        <v>23.280296135945665</v>
      </c>
      <c r="K102" s="7">
        <f ca="1">'Battery Design'!K340/10</f>
        <v>23.280296135945665</v>
      </c>
      <c r="L102" s="7">
        <f ca="1">'Battery Design'!L340/10</f>
        <v>23.280296135945665</v>
      </c>
      <c r="M102" s="7">
        <f ca="1">'Battery Design'!M340/10</f>
        <v>23.280296135945665</v>
      </c>
      <c r="V102" s="7"/>
      <c r="W102" s="7"/>
    </row>
    <row r="103" spans="2:23" x14ac:dyDescent="0.15">
      <c r="B103" s="8" t="s">
        <v>1867</v>
      </c>
      <c r="F103" s="35"/>
      <c r="G103" s="53">
        <f>'Battery Design'!G341/10+2*'Battery Design'!G75/10000+'Battery Design'!G400/10+'Battery Design'!G347/10</f>
        <v>0.12</v>
      </c>
      <c r="H103" s="53">
        <f>'Battery Design'!H341/10+2*'Battery Design'!H75/10000+'Battery Design'!H400/10+'Battery Design'!H347/10</f>
        <v>0.12</v>
      </c>
      <c r="I103" s="53">
        <f>'Battery Design'!I341/10+2*'Battery Design'!I75/10000+'Battery Design'!I400/10+'Battery Design'!I347/10</f>
        <v>0.12</v>
      </c>
      <c r="J103" s="53">
        <f>'Battery Design'!J341/10+2*'Battery Design'!J75/10000+'Battery Design'!J400/10+'Battery Design'!J347/10</f>
        <v>0.12</v>
      </c>
      <c r="K103" s="53">
        <f>'Battery Design'!K341/10+2*'Battery Design'!K75/10000+'Battery Design'!K400/10+'Battery Design'!K347/10</f>
        <v>0.12</v>
      </c>
      <c r="L103" s="53">
        <f>'Battery Design'!L341/10+2*'Battery Design'!L75/10000+'Battery Design'!L400/10+'Battery Design'!L347/10</f>
        <v>0.12</v>
      </c>
      <c r="M103" s="53">
        <f>'Battery Design'!M341/10+2*'Battery Design'!M75/10000+'Battery Design'!M400/10+'Battery Design'!M347/10</f>
        <v>0.12</v>
      </c>
      <c r="V103" s="53"/>
      <c r="W103" s="53"/>
    </row>
    <row r="104" spans="2:23" x14ac:dyDescent="0.15">
      <c r="B104" s="8" t="s">
        <v>1868</v>
      </c>
      <c r="F104" s="35"/>
      <c r="G104" s="7">
        <f ca="1">'Battery Design'!G86/10</f>
        <v>2.0134127918567941</v>
      </c>
      <c r="H104" s="7">
        <f ca="1">'Battery Design'!H86/10</f>
        <v>2.0134127918567941</v>
      </c>
      <c r="I104" s="7">
        <f ca="1">'Battery Design'!I86/10</f>
        <v>2.0134127918567941</v>
      </c>
      <c r="J104" s="7">
        <f ca="1">'Battery Design'!J86/10</f>
        <v>2.0134127918567941</v>
      </c>
      <c r="K104" s="7">
        <f ca="1">'Battery Design'!K86/10</f>
        <v>2.0134127918567941</v>
      </c>
      <c r="L104" s="7">
        <f ca="1">'Battery Design'!L86/10</f>
        <v>2.0134127918567941</v>
      </c>
      <c r="M104" s="7">
        <f ca="1">'Battery Design'!M86/10</f>
        <v>2.0134127918567941</v>
      </c>
      <c r="V104" s="7"/>
      <c r="W104" s="7"/>
    </row>
    <row r="105" spans="2:23" x14ac:dyDescent="0.15">
      <c r="B105" s="8" t="s">
        <v>1869</v>
      </c>
      <c r="F105" s="62"/>
      <c r="G105" s="3">
        <f ca="1">'Battery Design'!G311/10</f>
        <v>7.960098711981888</v>
      </c>
      <c r="H105" s="3">
        <f ca="1">'Battery Design'!H311/10</f>
        <v>7.960098711981888</v>
      </c>
      <c r="I105" s="3">
        <f ca="1">'Battery Design'!I311/10</f>
        <v>7.960098711981888</v>
      </c>
      <c r="J105" s="3">
        <f ca="1">'Battery Design'!J311/10</f>
        <v>7.960098711981888</v>
      </c>
      <c r="K105" s="3">
        <f ca="1">'Battery Design'!K311/10</f>
        <v>7.960098711981888</v>
      </c>
      <c r="L105" s="3">
        <f ca="1">'Battery Design'!L311/10</f>
        <v>7.960098711981888</v>
      </c>
      <c r="M105" s="3">
        <f ca="1">'Battery Design'!M311/10</f>
        <v>7.960098711981888</v>
      </c>
      <c r="V105" s="3"/>
      <c r="W105" s="3"/>
    </row>
    <row r="106" spans="2:23" x14ac:dyDescent="0.15">
      <c r="B106" s="8" t="s">
        <v>1870</v>
      </c>
      <c r="F106" s="62"/>
      <c r="G106" s="7">
        <f>'Battery Design'!G87/10</f>
        <v>0.1</v>
      </c>
      <c r="H106" s="7">
        <f>'Battery Design'!H87/10</f>
        <v>0.1</v>
      </c>
      <c r="I106" s="7">
        <f>'Battery Design'!I87/10</f>
        <v>0.1</v>
      </c>
      <c r="J106" s="7">
        <f>'Battery Design'!J87/10</f>
        <v>0.1</v>
      </c>
      <c r="K106" s="7">
        <f>'Battery Design'!K87/10</f>
        <v>0.1</v>
      </c>
      <c r="L106" s="7">
        <f>'Battery Design'!L87/10</f>
        <v>0.1</v>
      </c>
      <c r="M106" s="7">
        <f>'Battery Design'!M87/10</f>
        <v>0.1</v>
      </c>
      <c r="V106" s="7"/>
      <c r="W106" s="7"/>
    </row>
    <row r="107" spans="2:23" x14ac:dyDescent="0.15">
      <c r="B107" s="8" t="s">
        <v>1871</v>
      </c>
      <c r="G107" s="55">
        <f ca="1">3.917*G102/10*G95^0.58*G94^-0.19*G104^1.2*G105^-0.75</f>
        <v>3.9518789113546848</v>
      </c>
      <c r="H107" s="55">
        <f t="shared" ref="H107:M107" ca="1" si="26">3.917*H102/10*H95^0.58*H94^-0.19*H104^1.2*H105^-0.75</f>
        <v>3.9518789113546848</v>
      </c>
      <c r="I107" s="55">
        <f t="shared" ca="1" si="26"/>
        <v>3.9518789113546848</v>
      </c>
      <c r="J107" s="55">
        <f t="shared" ca="1" si="26"/>
        <v>3.9518789113546848</v>
      </c>
      <c r="K107" s="55">
        <f t="shared" ca="1" si="26"/>
        <v>3.9518789113546848</v>
      </c>
      <c r="L107" s="55">
        <f t="shared" ca="1" si="26"/>
        <v>3.9518789113546848</v>
      </c>
      <c r="M107" s="55">
        <f t="shared" ca="1" si="26"/>
        <v>3.9518789113546848</v>
      </c>
      <c r="V107" s="55"/>
      <c r="W107" s="55"/>
    </row>
    <row r="108" spans="2:23" x14ac:dyDescent="0.15">
      <c r="B108" s="8" t="s">
        <v>1872</v>
      </c>
      <c r="G108" s="55">
        <f t="shared" ref="G108:M108" ca="1" si="27">1628*G102/10*G95^0.55*G94^0.58*G104^-0.21*G105^-0.7*G103^0.72</f>
        <v>4.6729920903562991</v>
      </c>
      <c r="H108" s="55">
        <f t="shared" ca="1" si="27"/>
        <v>4.6729920903562991</v>
      </c>
      <c r="I108" s="55">
        <f t="shared" ca="1" si="27"/>
        <v>4.6729920903562991</v>
      </c>
      <c r="J108" s="55">
        <f t="shared" ca="1" si="27"/>
        <v>4.6729920903562991</v>
      </c>
      <c r="K108" s="55">
        <f t="shared" ca="1" si="27"/>
        <v>4.6729920903562991</v>
      </c>
      <c r="L108" s="55">
        <f t="shared" ca="1" si="27"/>
        <v>4.6729920903562991</v>
      </c>
      <c r="M108" s="55">
        <f t="shared" ca="1" si="27"/>
        <v>4.6729920903562991</v>
      </c>
      <c r="N108" s="562"/>
      <c r="V108" s="55"/>
      <c r="W108" s="55"/>
    </row>
    <row r="109" spans="2:23" x14ac:dyDescent="0.15">
      <c r="B109" s="8" t="s">
        <v>1873</v>
      </c>
      <c r="G109" s="7">
        <f ca="1">G101/(G107+G108)</f>
        <v>6.5462404606513272E-2</v>
      </c>
      <c r="H109" s="7">
        <f t="shared" ref="H109:M109" ca="1" si="28">H101/(H107+H108)</f>
        <v>6.5462404606513272E-2</v>
      </c>
      <c r="I109" s="7">
        <f t="shared" ca="1" si="28"/>
        <v>6.5462404606513272E-2</v>
      </c>
      <c r="J109" s="7">
        <f t="shared" ca="1" si="28"/>
        <v>6.5462404606513272E-2</v>
      </c>
      <c r="K109" s="7">
        <f t="shared" ca="1" si="28"/>
        <v>6.5462404606513272E-2</v>
      </c>
      <c r="L109" s="7">
        <f t="shared" ca="1" si="28"/>
        <v>6.5462404606513272E-2</v>
      </c>
      <c r="M109" s="7">
        <f t="shared" ca="1" si="28"/>
        <v>6.5462404606513272E-2</v>
      </c>
      <c r="V109" s="7"/>
      <c r="W109" s="7"/>
    </row>
    <row r="110" spans="2:23" x14ac:dyDescent="0.15">
      <c r="B110" s="8"/>
      <c r="G110" s="7"/>
      <c r="H110" s="7"/>
      <c r="I110" s="7"/>
      <c r="J110" s="7"/>
      <c r="K110" s="7"/>
      <c r="L110" s="7"/>
      <c r="M110" s="7"/>
      <c r="V110" s="7"/>
      <c r="W110" s="7"/>
    </row>
    <row r="111" spans="2:23" ht="14" x14ac:dyDescent="0.15">
      <c r="B111" s="507" t="s">
        <v>1874</v>
      </c>
      <c r="D111" s="26"/>
      <c r="G111" s="57"/>
      <c r="H111" s="57"/>
      <c r="I111" s="57"/>
      <c r="J111" s="57"/>
      <c r="K111" s="57"/>
      <c r="L111" s="57"/>
      <c r="M111" s="57"/>
      <c r="V111" s="57"/>
      <c r="W111" s="57"/>
    </row>
    <row r="112" spans="2:23" x14ac:dyDescent="0.15">
      <c r="B112" s="225" t="s">
        <v>1875</v>
      </c>
      <c r="D112" s="45"/>
      <c r="E112" s="45"/>
      <c r="F112" s="45"/>
      <c r="G112" s="57"/>
      <c r="H112" s="57"/>
      <c r="I112" s="57"/>
      <c r="J112" s="57"/>
      <c r="K112" s="57"/>
      <c r="L112" s="57"/>
      <c r="M112" s="57"/>
      <c r="N112" s="9" t="s">
        <v>1876</v>
      </c>
      <c r="V112" s="57"/>
      <c r="W112" s="57"/>
    </row>
    <row r="113" spans="2:23" ht="14" x14ac:dyDescent="0.2">
      <c r="B113" s="8" t="s">
        <v>1877</v>
      </c>
      <c r="D113" s="7"/>
      <c r="G113" s="38">
        <v>3.2639999999999998</v>
      </c>
      <c r="H113" s="38">
        <v>3.2639999999999998</v>
      </c>
      <c r="I113" s="38">
        <v>3.2639999999999998</v>
      </c>
      <c r="J113" s="38">
        <v>3.2639999999999998</v>
      </c>
      <c r="K113" s="38">
        <v>3.2639999999999998</v>
      </c>
      <c r="L113" s="38">
        <v>3.2639999999999998</v>
      </c>
      <c r="M113" s="38">
        <v>3.2639999999999998</v>
      </c>
      <c r="N113" s="38">
        <v>1.51</v>
      </c>
      <c r="V113" s="7"/>
      <c r="W113" s="7"/>
    </row>
    <row r="114" spans="2:23" ht="14" x14ac:dyDescent="0.2">
      <c r="B114" s="8" t="s">
        <v>1878</v>
      </c>
      <c r="D114" s="45"/>
      <c r="G114" s="38">
        <v>1.07</v>
      </c>
      <c r="H114" s="38">
        <v>1.07</v>
      </c>
      <c r="I114" s="38">
        <v>1.07</v>
      </c>
      <c r="J114" s="38">
        <v>1.07</v>
      </c>
      <c r="K114" s="38">
        <v>1.07</v>
      </c>
      <c r="L114" s="38">
        <v>1.07</v>
      </c>
      <c r="M114" s="38">
        <v>1.07</v>
      </c>
      <c r="N114" s="38">
        <v>0.96</v>
      </c>
      <c r="V114" s="7"/>
      <c r="W114" s="7"/>
    </row>
    <row r="115" spans="2:23" ht="14" x14ac:dyDescent="0.2">
      <c r="B115" s="8" t="s">
        <v>1879</v>
      </c>
      <c r="G115" s="414">
        <v>5.5E-2</v>
      </c>
      <c r="H115" s="414">
        <v>5.5E-2</v>
      </c>
      <c r="I115" s="414">
        <v>5.5E-2</v>
      </c>
      <c r="J115" s="414">
        <v>5.5E-2</v>
      </c>
      <c r="K115" s="414">
        <v>5.5E-2</v>
      </c>
      <c r="L115" s="414">
        <v>5.5E-2</v>
      </c>
      <c r="M115" s="414">
        <v>5.5E-2</v>
      </c>
      <c r="N115" s="38">
        <v>0.5</v>
      </c>
      <c r="V115" s="7"/>
      <c r="W115" s="7"/>
    </row>
    <row r="116" spans="2:23" x14ac:dyDescent="0.15">
      <c r="B116" s="8" t="s">
        <v>1880</v>
      </c>
      <c r="G116" s="57">
        <f t="shared" ref="G116:M116" si="29">G97</f>
        <v>4.3E-3</v>
      </c>
      <c r="H116" s="57">
        <f t="shared" si="29"/>
        <v>4.3E-3</v>
      </c>
      <c r="I116" s="57">
        <f t="shared" si="29"/>
        <v>4.3E-3</v>
      </c>
      <c r="J116" s="57">
        <f t="shared" si="29"/>
        <v>4.3E-3</v>
      </c>
      <c r="K116" s="57">
        <f t="shared" si="29"/>
        <v>4.3E-3</v>
      </c>
      <c r="L116" s="57">
        <f t="shared" si="29"/>
        <v>4.3E-3</v>
      </c>
      <c r="M116" s="57">
        <f t="shared" si="29"/>
        <v>4.3E-3</v>
      </c>
      <c r="N116" s="65">
        <v>1.5100000000000001E-3</v>
      </c>
      <c r="V116" s="57"/>
      <c r="W116" s="57"/>
    </row>
    <row r="117" spans="2:23" x14ac:dyDescent="0.15">
      <c r="B117" s="8"/>
      <c r="G117" s="57"/>
      <c r="H117" s="57"/>
      <c r="I117" s="57"/>
      <c r="J117" s="57"/>
      <c r="K117" s="57"/>
      <c r="L117" s="57"/>
      <c r="M117" s="57"/>
      <c r="N117" s="55"/>
      <c r="V117" s="57"/>
      <c r="W117" s="57"/>
    </row>
    <row r="118" spans="2:23" x14ac:dyDescent="0.15">
      <c r="B118" s="8" t="s">
        <v>1881</v>
      </c>
      <c r="G118" s="3">
        <f>G113*G115/G116</f>
        <v>41.748837209302323</v>
      </c>
      <c r="H118" s="3">
        <f t="shared" ref="H118:M118" si="30">H113*H115/H116</f>
        <v>41.748837209302323</v>
      </c>
      <c r="I118" s="3">
        <f t="shared" si="30"/>
        <v>41.748837209302323</v>
      </c>
      <c r="J118" s="3">
        <f t="shared" si="30"/>
        <v>41.748837209302323</v>
      </c>
      <c r="K118" s="3">
        <f t="shared" si="30"/>
        <v>41.748837209302323</v>
      </c>
      <c r="L118" s="3">
        <f t="shared" si="30"/>
        <v>41.748837209302323</v>
      </c>
      <c r="M118" s="3">
        <f t="shared" si="30"/>
        <v>41.748837209302323</v>
      </c>
      <c r="N118" s="55"/>
      <c r="V118" s="57"/>
      <c r="W118" s="57"/>
    </row>
    <row r="119" spans="2:23" x14ac:dyDescent="0.15">
      <c r="B119" s="8" t="s">
        <v>1882</v>
      </c>
      <c r="F119" s="60"/>
      <c r="G119" s="3">
        <f ca="1">2*G137/G140*G118*G141</f>
        <v>2.5254832913744591</v>
      </c>
      <c r="H119" s="3">
        <f t="shared" ref="H119:M119" ca="1" si="31">2*H137/H140*H118*H141</f>
        <v>2.5254832913744591</v>
      </c>
      <c r="I119" s="3">
        <f t="shared" ca="1" si="31"/>
        <v>2.5254832913744591</v>
      </c>
      <c r="J119" s="3">
        <f t="shared" ca="1" si="31"/>
        <v>2.5254832913744591</v>
      </c>
      <c r="K119" s="3">
        <f t="shared" ca="1" si="31"/>
        <v>2.5254832913744591</v>
      </c>
      <c r="L119" s="3">
        <f t="shared" ca="1" si="31"/>
        <v>2.5254832913744591</v>
      </c>
      <c r="M119" s="3">
        <f t="shared" ca="1" si="31"/>
        <v>2.5254832913744591</v>
      </c>
      <c r="N119" s="562"/>
      <c r="V119" s="2"/>
      <c r="W119" s="2"/>
    </row>
    <row r="120" spans="2:23" x14ac:dyDescent="0.15">
      <c r="B120" s="8" t="s">
        <v>1883</v>
      </c>
      <c r="F120" s="52"/>
      <c r="G120" s="7">
        <f t="shared" ref="G120:M120" ca="1" si="32">(5.385^3.592+(2.255*G119^(1/3))^3.592)^(1/3.592)</f>
        <v>5.5754793531198752</v>
      </c>
      <c r="H120" s="7">
        <f t="shared" ca="1" si="32"/>
        <v>5.5754793531198752</v>
      </c>
      <c r="I120" s="7">
        <f t="shared" ca="1" si="32"/>
        <v>5.5754793531198752</v>
      </c>
      <c r="J120" s="7">
        <f t="shared" ca="1" si="32"/>
        <v>5.5754793531198752</v>
      </c>
      <c r="K120" s="7">
        <f t="shared" ca="1" si="32"/>
        <v>5.5754793531198752</v>
      </c>
      <c r="L120" s="7">
        <f t="shared" ca="1" si="32"/>
        <v>5.5754793531198752</v>
      </c>
      <c r="M120" s="7">
        <f t="shared" ca="1" si="32"/>
        <v>5.5754793531198752</v>
      </c>
      <c r="V120" s="7"/>
      <c r="W120" s="7"/>
    </row>
    <row r="121" spans="2:23" x14ac:dyDescent="0.15">
      <c r="B121" s="8" t="s">
        <v>1884</v>
      </c>
      <c r="F121" s="35"/>
      <c r="G121" s="58">
        <f t="shared" ref="G121:M121" ca="1" si="33">G120*G116/G137</f>
        <v>2.4489472220372049E-2</v>
      </c>
      <c r="H121" s="58">
        <f t="shared" ca="1" si="33"/>
        <v>2.4489472220372049E-2</v>
      </c>
      <c r="I121" s="58">
        <f t="shared" ca="1" si="33"/>
        <v>2.4489472220372049E-2</v>
      </c>
      <c r="J121" s="58">
        <f t="shared" ca="1" si="33"/>
        <v>2.4489472220372049E-2</v>
      </c>
      <c r="K121" s="58">
        <f t="shared" ca="1" si="33"/>
        <v>2.4489472220372049E-2</v>
      </c>
      <c r="L121" s="58">
        <f t="shared" ca="1" si="33"/>
        <v>2.4489472220372049E-2</v>
      </c>
      <c r="M121" s="58">
        <f t="shared" ca="1" si="33"/>
        <v>2.4489472220372049E-2</v>
      </c>
      <c r="V121" s="58"/>
      <c r="W121" s="58"/>
    </row>
    <row r="122" spans="2:23" x14ac:dyDescent="0.15">
      <c r="B122" s="8" t="s">
        <v>1885</v>
      </c>
      <c r="G122" s="2">
        <f ca="1">2*'Battery Design'!G29*'Battery Design'!G304/10*'Battery Design'!G355/10</f>
        <v>37312.040877647109</v>
      </c>
      <c r="H122" s="2">
        <f ca="1">2*'Battery Design'!H29*'Battery Design'!H304/10*'Battery Design'!H355/10</f>
        <v>37312.040877647109</v>
      </c>
      <c r="I122" s="2">
        <f ca="1">2*'Battery Design'!I29*'Battery Design'!I304/10*'Battery Design'!I355/10</f>
        <v>37312.040877647109</v>
      </c>
      <c r="J122" s="2">
        <f ca="1">2*'Battery Design'!J29*'Battery Design'!J304/10*'Battery Design'!J355/10</f>
        <v>37312.040877647109</v>
      </c>
      <c r="K122" s="2">
        <f ca="1">2*'Battery Design'!K29*'Battery Design'!K304/10*'Battery Design'!K355/10</f>
        <v>37312.040877647109</v>
      </c>
      <c r="L122" s="2">
        <f ca="1">2*'Battery Design'!L29*'Battery Design'!L304/10*'Battery Design'!L355/10</f>
        <v>37312.040877647109</v>
      </c>
      <c r="M122" s="2">
        <f ca="1">2*'Battery Design'!M29*'Battery Design'!M304/10*'Battery Design'!M355/10</f>
        <v>37312.040877647109</v>
      </c>
      <c r="V122" s="2"/>
      <c r="W122" s="2"/>
    </row>
    <row r="123" spans="2:23" x14ac:dyDescent="0.15">
      <c r="B123" s="8" t="s">
        <v>1886</v>
      </c>
      <c r="G123" s="7">
        <f t="shared" ref="G123:M123" ca="1" si="34">G40/G121/G122</f>
        <v>0.24715882588852495</v>
      </c>
      <c r="H123" s="7">
        <f t="shared" ca="1" si="34"/>
        <v>0.24715882588852495</v>
      </c>
      <c r="I123" s="7">
        <f t="shared" ca="1" si="34"/>
        <v>0.24715882588852495</v>
      </c>
      <c r="J123" s="7">
        <f t="shared" ca="1" si="34"/>
        <v>0.24715882588852495</v>
      </c>
      <c r="K123" s="7">
        <f t="shared" ca="1" si="34"/>
        <v>0.24715882588852495</v>
      </c>
      <c r="L123" s="7">
        <f t="shared" ca="1" si="34"/>
        <v>0.24715882588852495</v>
      </c>
      <c r="M123" s="7">
        <f t="shared" ca="1" si="34"/>
        <v>0.24715882588852495</v>
      </c>
      <c r="V123" s="7"/>
      <c r="W123" s="7"/>
    </row>
    <row r="124" spans="2:23" x14ac:dyDescent="0.15">
      <c r="B124" s="8"/>
      <c r="G124" s="7"/>
      <c r="H124" s="7"/>
      <c r="I124" s="7"/>
      <c r="J124" s="7"/>
      <c r="K124" s="7"/>
      <c r="L124" s="7"/>
      <c r="M124" s="7"/>
      <c r="V124" s="7"/>
      <c r="W124" s="7"/>
    </row>
    <row r="125" spans="2:23" ht="14" x14ac:dyDescent="0.15">
      <c r="B125" s="507" t="s">
        <v>1887</v>
      </c>
      <c r="G125" s="7"/>
      <c r="H125" s="7"/>
      <c r="I125" s="7"/>
      <c r="J125" s="7"/>
      <c r="K125" s="7"/>
      <c r="L125" s="7"/>
      <c r="M125" s="7"/>
      <c r="V125" s="7"/>
      <c r="W125" s="7"/>
    </row>
    <row r="126" spans="2:23" x14ac:dyDescent="0.15">
      <c r="B126" s="8" t="s">
        <v>1888</v>
      </c>
      <c r="C126" s="8"/>
      <c r="D126" s="8"/>
      <c r="E126" s="8"/>
      <c r="G126" s="3">
        <f t="shared" ref="G126:M126" ca="1" si="35">G109+G123</f>
        <v>0.3126212304950382</v>
      </c>
      <c r="H126" s="3">
        <f t="shared" ca="1" si="35"/>
        <v>0.3126212304950382</v>
      </c>
      <c r="I126" s="3">
        <f t="shared" ca="1" si="35"/>
        <v>0.3126212304950382</v>
      </c>
      <c r="J126" s="3">
        <f t="shared" ca="1" si="35"/>
        <v>0.3126212304950382</v>
      </c>
      <c r="K126" s="3">
        <f t="shared" ca="1" si="35"/>
        <v>0.3126212304950382</v>
      </c>
      <c r="L126" s="3">
        <f t="shared" ca="1" si="35"/>
        <v>0.3126212304950382</v>
      </c>
      <c r="M126" s="3">
        <f t="shared" ca="1" si="35"/>
        <v>0.3126212304950382</v>
      </c>
      <c r="V126" s="28"/>
      <c r="W126" s="28"/>
    </row>
    <row r="127" spans="2:23" x14ac:dyDescent="0.15">
      <c r="B127" s="8" t="s">
        <v>1889</v>
      </c>
      <c r="G127" s="3">
        <f t="shared" ref="G127:M127" ca="1" si="36">MIN(G109+G123+G11+G12,G42)</f>
        <v>20.31262123049504</v>
      </c>
      <c r="H127" s="3">
        <f t="shared" ca="1" si="36"/>
        <v>20.31262123049504</v>
      </c>
      <c r="I127" s="3">
        <f t="shared" ca="1" si="36"/>
        <v>20.31262123049504</v>
      </c>
      <c r="J127" s="3">
        <f t="shared" ca="1" si="36"/>
        <v>20.31262123049504</v>
      </c>
      <c r="K127" s="3">
        <f t="shared" ca="1" si="36"/>
        <v>20.31262123049504</v>
      </c>
      <c r="L127" s="3">
        <f t="shared" ca="1" si="36"/>
        <v>20.31262123049504</v>
      </c>
      <c r="M127" s="3">
        <f t="shared" ca="1" si="36"/>
        <v>20.31262123049504</v>
      </c>
      <c r="V127" s="3"/>
      <c r="W127" s="3"/>
    </row>
    <row r="128" spans="2:23" ht="14" thickBot="1" x14ac:dyDescent="0.2">
      <c r="G128" s="35"/>
      <c r="H128" s="35"/>
      <c r="I128" s="35"/>
      <c r="J128" s="35"/>
      <c r="K128" s="35"/>
      <c r="L128" s="35"/>
      <c r="M128" s="35"/>
    </row>
    <row r="129" spans="2:23" ht="21" thickBot="1" x14ac:dyDescent="0.25">
      <c r="B129" s="1262" t="s">
        <v>1890</v>
      </c>
      <c r="C129" s="1263"/>
      <c r="D129" s="1263"/>
      <c r="E129" s="1263"/>
      <c r="F129" s="1263"/>
      <c r="G129" s="1263"/>
      <c r="H129" s="1263"/>
      <c r="I129" s="1263"/>
      <c r="J129" s="1263"/>
      <c r="K129" s="1263"/>
      <c r="L129" s="1263"/>
      <c r="M129" s="1264"/>
      <c r="P129" s="26"/>
    </row>
    <row r="130" spans="2:23" x14ac:dyDescent="0.15">
      <c r="B130" s="88"/>
      <c r="C130" s="88"/>
      <c r="D130" s="88"/>
      <c r="E130" s="88"/>
      <c r="F130" s="88"/>
      <c r="N130" s="88"/>
    </row>
    <row r="131" spans="2:23" x14ac:dyDescent="0.15">
      <c r="B131" s="8" t="s">
        <v>1891</v>
      </c>
      <c r="F131" s="88"/>
      <c r="G131" s="7">
        <f ca="1">G140*('Battery Design'!G416-2*'Battery Design'!G421)/10*G135/1000</f>
        <v>27.123562305695703</v>
      </c>
      <c r="H131" s="7">
        <f ca="1">H140*('Battery Design'!H416-2*'Battery Design'!H421)/10*Thermal!H135/1000</f>
        <v>27.123562305695703</v>
      </c>
      <c r="I131" s="7">
        <f ca="1">I140*('Battery Design'!I416-2*'Battery Design'!I421)/10*Thermal!I135/1000</f>
        <v>27.123562305695703</v>
      </c>
      <c r="J131" s="7">
        <f ca="1">J140*('Battery Design'!J416-2*'Battery Design'!J421)/10*Thermal!J135/1000</f>
        <v>27.123562305695703</v>
      </c>
      <c r="K131" s="7">
        <f ca="1">K140*('Battery Design'!K416-2*'Battery Design'!K421)/10*Thermal!K135/1000</f>
        <v>27.123562305695703</v>
      </c>
      <c r="L131" s="7">
        <f ca="1">L140*('Battery Design'!L416-2*'Battery Design'!L421)/10*Thermal!L135/1000</f>
        <v>27.123562305695703</v>
      </c>
      <c r="M131" s="7">
        <f ca="1">M140*('Battery Design'!M416-2*'Battery Design'!M421)/10*Thermal!M135/1000</f>
        <v>27.123562305695703</v>
      </c>
      <c r="V131" s="7"/>
      <c r="W131" s="7"/>
    </row>
    <row r="132" spans="2:23" x14ac:dyDescent="0.15">
      <c r="B132" s="8" t="s">
        <v>1892</v>
      </c>
      <c r="G132" s="7">
        <f t="shared" ref="G132:M132" ca="1" si="37">G131*G114</f>
        <v>29.022211667094403</v>
      </c>
      <c r="H132" s="7">
        <f t="shared" ca="1" si="37"/>
        <v>29.022211667094403</v>
      </c>
      <c r="I132" s="7">
        <f t="shared" ca="1" si="37"/>
        <v>29.022211667094403</v>
      </c>
      <c r="J132" s="7">
        <f t="shared" ca="1" si="37"/>
        <v>29.022211667094403</v>
      </c>
      <c r="K132" s="7">
        <f t="shared" ca="1" si="37"/>
        <v>29.022211667094403</v>
      </c>
      <c r="L132" s="7">
        <f t="shared" ca="1" si="37"/>
        <v>29.022211667094403</v>
      </c>
      <c r="M132" s="7">
        <f t="shared" ca="1" si="37"/>
        <v>29.022211667094403</v>
      </c>
      <c r="V132" s="7"/>
      <c r="W132" s="7"/>
    </row>
    <row r="133" spans="2:23" ht="14" x14ac:dyDescent="0.2">
      <c r="B133" s="8" t="s">
        <v>1893</v>
      </c>
      <c r="F133" s="35"/>
      <c r="G133" s="2">
        <f t="shared" ref="G133:M133" ca="1" si="38">G74/G113/G114/G12</f>
        <v>31.676377576545313</v>
      </c>
      <c r="H133" s="2">
        <f t="shared" ca="1" si="38"/>
        <v>31.676377576545313</v>
      </c>
      <c r="I133" s="2">
        <f t="shared" ca="1" si="38"/>
        <v>31.676377576545313</v>
      </c>
      <c r="J133" s="2">
        <f t="shared" ca="1" si="38"/>
        <v>31.676377576545313</v>
      </c>
      <c r="K133" s="2">
        <f t="shared" ca="1" si="38"/>
        <v>31.676377576545313</v>
      </c>
      <c r="L133" s="2">
        <f t="shared" ca="1" si="38"/>
        <v>31.676377576545313</v>
      </c>
      <c r="M133" s="2">
        <f t="shared" ca="1" si="38"/>
        <v>31.676377576545313</v>
      </c>
      <c r="V133" s="2"/>
      <c r="W133" s="2"/>
    </row>
    <row r="134" spans="2:23" x14ac:dyDescent="0.15">
      <c r="B134" s="8" t="s">
        <v>1894</v>
      </c>
      <c r="F134" s="52"/>
      <c r="G134" s="7">
        <f t="shared" ref="G134:M134" ca="1" si="39">G133*G114/G138</f>
        <v>0.72794872988244819</v>
      </c>
      <c r="H134" s="7">
        <f t="shared" ca="1" si="39"/>
        <v>0.72794872988244819</v>
      </c>
      <c r="I134" s="7">
        <f t="shared" ca="1" si="39"/>
        <v>0.72794872988244819</v>
      </c>
      <c r="J134" s="7">
        <f t="shared" ca="1" si="39"/>
        <v>0.72794872988244819</v>
      </c>
      <c r="K134" s="7">
        <f t="shared" ca="1" si="39"/>
        <v>0.72794872988244819</v>
      </c>
      <c r="L134" s="7">
        <f t="shared" ca="1" si="39"/>
        <v>0.72794872988244819</v>
      </c>
      <c r="M134" s="7">
        <f t="shared" ca="1" si="39"/>
        <v>0.72794872988244819</v>
      </c>
      <c r="V134" s="7"/>
      <c r="W134" s="7"/>
    </row>
    <row r="135" spans="2:23" x14ac:dyDescent="0.15">
      <c r="B135" s="8" t="s">
        <v>1895</v>
      </c>
      <c r="F135" s="46"/>
      <c r="G135" s="7">
        <f>'Battery Design'!G399/10</f>
        <v>0.5</v>
      </c>
      <c r="H135" s="7">
        <f>'Battery Design'!H399/10</f>
        <v>0.5</v>
      </c>
      <c r="I135" s="7">
        <f>'Battery Design'!I399/10</f>
        <v>0.5</v>
      </c>
      <c r="J135" s="7">
        <f>'Battery Design'!J399/10</f>
        <v>0.5</v>
      </c>
      <c r="K135" s="7">
        <f>'Battery Design'!K399/10</f>
        <v>0.5</v>
      </c>
      <c r="L135" s="7">
        <f>'Battery Design'!L399/10</f>
        <v>0.5</v>
      </c>
      <c r="M135" s="7">
        <f>'Battery Design'!M399/10</f>
        <v>0.5</v>
      </c>
      <c r="N135" s="28"/>
      <c r="V135" s="7"/>
      <c r="W135" s="7"/>
    </row>
    <row r="136" spans="2:23" x14ac:dyDescent="0.15">
      <c r="B136" s="8" t="s">
        <v>1896</v>
      </c>
      <c r="F136" s="46"/>
      <c r="G136" s="7">
        <f ca="1">'Battery Design'!G398/10</f>
        <v>23.280296135945665</v>
      </c>
      <c r="H136" s="7">
        <f ca="1">'Battery Design'!H398/10</f>
        <v>23.280296135945665</v>
      </c>
      <c r="I136" s="7">
        <f ca="1">'Battery Design'!I398/10</f>
        <v>23.280296135945665</v>
      </c>
      <c r="J136" s="7">
        <f ca="1">'Battery Design'!J398/10</f>
        <v>23.280296135945665</v>
      </c>
      <c r="K136" s="7">
        <f ca="1">'Battery Design'!K398/10</f>
        <v>23.280296135945665</v>
      </c>
      <c r="L136" s="7">
        <f ca="1">'Battery Design'!L398/10</f>
        <v>23.280296135945665</v>
      </c>
      <c r="M136" s="7">
        <f ca="1">'Battery Design'!M398/10</f>
        <v>23.280296135945665</v>
      </c>
      <c r="N136" s="28"/>
      <c r="V136" s="7"/>
      <c r="W136" s="7"/>
    </row>
    <row r="137" spans="2:23" ht="15" x14ac:dyDescent="0.2">
      <c r="B137" s="8" t="s">
        <v>1897</v>
      </c>
      <c r="F137" s="52"/>
      <c r="G137" s="7">
        <f ca="1">2*G135*(G136)/(G136+G135)</f>
        <v>0.97897418950791726</v>
      </c>
      <c r="H137" s="7">
        <f t="shared" ref="H137:M137" ca="1" si="40">2*H135*(H136)/(H136+H135)</f>
        <v>0.97897418950791726</v>
      </c>
      <c r="I137" s="7">
        <f t="shared" ca="1" si="40"/>
        <v>0.97897418950791726</v>
      </c>
      <c r="J137" s="7">
        <f t="shared" ca="1" si="40"/>
        <v>0.97897418950791726</v>
      </c>
      <c r="K137" s="7">
        <f t="shared" ca="1" si="40"/>
        <v>0.97897418950791726</v>
      </c>
      <c r="L137" s="7">
        <f t="shared" ca="1" si="40"/>
        <v>0.97897418950791726</v>
      </c>
      <c r="M137" s="7">
        <f t="shared" ca="1" si="40"/>
        <v>0.97897418950791726</v>
      </c>
      <c r="V137" s="7"/>
      <c r="W137" s="415" t="s">
        <v>1898</v>
      </c>
    </row>
    <row r="138" spans="2:23" x14ac:dyDescent="0.15">
      <c r="B138" s="8" t="s">
        <v>1899</v>
      </c>
      <c r="F138" s="35"/>
      <c r="G138" s="3">
        <f ca="1">IF(Dashboard!$D6=0,25,G136*'Battery Design'!G28*G135)</f>
        <v>46.560592271891331</v>
      </c>
      <c r="H138" s="3">
        <f ca="1">IF(Dashboard!$D6=0,25,H136*'Battery Design'!H28*H135)</f>
        <v>46.560592271891331</v>
      </c>
      <c r="I138" s="3">
        <f ca="1">IF(Dashboard!$D6=0,25,I136*'Battery Design'!I28*I135)</f>
        <v>46.560592271891331</v>
      </c>
      <c r="J138" s="3">
        <f ca="1">IF(Dashboard!$D6=0,25,J136*'Battery Design'!J28*J135)</f>
        <v>46.560592271891331</v>
      </c>
      <c r="K138" s="3">
        <f ca="1">IF(Dashboard!$D6=0,25,K136*'Battery Design'!K28*K135)</f>
        <v>46.560592271891331</v>
      </c>
      <c r="L138" s="3">
        <f ca="1">IF(Dashboard!$D6=0,25,L136*'Battery Design'!L28*L135)</f>
        <v>46.560592271891331</v>
      </c>
      <c r="M138" s="3">
        <f ca="1">IF(Dashboard!$D6=0,25,M136*'Battery Design'!M28*M135)</f>
        <v>46.560592271891331</v>
      </c>
      <c r="V138" s="3"/>
      <c r="W138" s="3"/>
    </row>
    <row r="139" spans="2:23" x14ac:dyDescent="0.15">
      <c r="B139" s="8" t="s">
        <v>1900</v>
      </c>
      <c r="F139" s="52"/>
      <c r="G139" s="3">
        <f t="shared" ref="G139:M139" ca="1" si="41">G133/G138</f>
        <v>0.68032591577810253</v>
      </c>
      <c r="H139" s="3">
        <f t="shared" ca="1" si="41"/>
        <v>0.68032591577810253</v>
      </c>
      <c r="I139" s="3">
        <f t="shared" ca="1" si="41"/>
        <v>0.68032591577810253</v>
      </c>
      <c r="J139" s="3">
        <f t="shared" ca="1" si="41"/>
        <v>0.68032591577810253</v>
      </c>
      <c r="K139" s="3">
        <f t="shared" ca="1" si="41"/>
        <v>0.68032591577810253</v>
      </c>
      <c r="L139" s="3">
        <f t="shared" ca="1" si="41"/>
        <v>0.68032591577810253</v>
      </c>
      <c r="M139" s="3">
        <f t="shared" ca="1" si="41"/>
        <v>0.68032591577810253</v>
      </c>
      <c r="V139" s="3"/>
      <c r="W139" s="3"/>
    </row>
    <row r="140" spans="2:23" x14ac:dyDescent="0.15">
      <c r="B140" s="8" t="s">
        <v>1901</v>
      </c>
      <c r="F140" s="33"/>
      <c r="G140" s="2">
        <f ca="1">('Battery Design'!G27*'Battery Design'!G355*2+'Battery Design'!G356)/10</f>
        <v>419.38265708334075</v>
      </c>
      <c r="H140" s="2">
        <f ca="1">('Battery Design'!H27*'Battery Design'!H355*2+'Battery Design'!H356)/10</f>
        <v>419.38265708334075</v>
      </c>
      <c r="I140" s="2">
        <f ca="1">('Battery Design'!I27*'Battery Design'!I355*2+'Battery Design'!I356)/10</f>
        <v>419.38265708334075</v>
      </c>
      <c r="J140" s="2">
        <f ca="1">('Battery Design'!J27*'Battery Design'!J355*2+'Battery Design'!J356)/10</f>
        <v>419.38265708334075</v>
      </c>
      <c r="K140" s="2">
        <f ca="1">('Battery Design'!K27*'Battery Design'!K355*2+'Battery Design'!K356)/10</f>
        <v>419.38265708334075</v>
      </c>
      <c r="L140" s="2">
        <f ca="1">('Battery Design'!L27*'Battery Design'!L355*2+'Battery Design'!L356)/10</f>
        <v>419.38265708334075</v>
      </c>
      <c r="M140" s="2">
        <f ca="1">('Battery Design'!M27*'Battery Design'!M355*2+'Battery Design'!M356)/10</f>
        <v>419.38265708334075</v>
      </c>
      <c r="V140" s="2"/>
      <c r="W140" s="2"/>
    </row>
    <row r="141" spans="2:23" x14ac:dyDescent="0.15">
      <c r="B141" s="8" t="s">
        <v>1902</v>
      </c>
      <c r="F141" s="52"/>
      <c r="G141" s="2">
        <f t="shared" ref="G141:M141" ca="1" si="42">G137*G139*G114/G115</f>
        <v>12.957145778911027</v>
      </c>
      <c r="H141" s="2">
        <f t="shared" ca="1" si="42"/>
        <v>12.957145778911027</v>
      </c>
      <c r="I141" s="2">
        <f t="shared" ca="1" si="42"/>
        <v>12.957145778911027</v>
      </c>
      <c r="J141" s="2">
        <f t="shared" ca="1" si="42"/>
        <v>12.957145778911027</v>
      </c>
      <c r="K141" s="2">
        <f t="shared" ca="1" si="42"/>
        <v>12.957145778911027</v>
      </c>
      <c r="L141" s="2">
        <f t="shared" ca="1" si="42"/>
        <v>12.957145778911027</v>
      </c>
      <c r="M141" s="2">
        <f t="shared" ca="1" si="42"/>
        <v>12.957145778911027</v>
      </c>
      <c r="V141" s="2"/>
      <c r="W141" s="2"/>
    </row>
    <row r="142" spans="2:23" ht="14" x14ac:dyDescent="0.2">
      <c r="B142" s="8" t="s">
        <v>1903</v>
      </c>
      <c r="F142" s="33"/>
      <c r="G142" s="55">
        <f t="shared" ref="G142:M142" ca="1" si="43">48*G115*G134*G140/(G114*G137^2)/1000000</f>
        <v>7.8593915397707614E-4</v>
      </c>
      <c r="H142" s="55">
        <f t="shared" ca="1" si="43"/>
        <v>7.8593915397707614E-4</v>
      </c>
      <c r="I142" s="55">
        <f t="shared" ca="1" si="43"/>
        <v>7.8593915397707614E-4</v>
      </c>
      <c r="J142" s="55">
        <f t="shared" ca="1" si="43"/>
        <v>7.8593915397707614E-4</v>
      </c>
      <c r="K142" s="55">
        <f t="shared" ca="1" si="43"/>
        <v>7.8593915397707614E-4</v>
      </c>
      <c r="L142" s="55">
        <f t="shared" ca="1" si="43"/>
        <v>7.8593915397707614E-4</v>
      </c>
      <c r="M142" s="55">
        <f t="shared" ca="1" si="43"/>
        <v>7.8593915397707614E-4</v>
      </c>
      <c r="V142" s="28"/>
      <c r="W142" s="28"/>
    </row>
    <row r="143" spans="2:23" x14ac:dyDescent="0.15">
      <c r="B143" s="8" t="s">
        <v>1904</v>
      </c>
      <c r="F143" s="59"/>
      <c r="G143" s="91">
        <v>200</v>
      </c>
      <c r="H143" s="91">
        <v>200</v>
      </c>
      <c r="I143" s="91">
        <v>200</v>
      </c>
      <c r="J143" s="91">
        <v>200</v>
      </c>
      <c r="K143" s="91">
        <v>200</v>
      </c>
      <c r="L143" s="91">
        <v>200</v>
      </c>
      <c r="M143" s="91">
        <v>200</v>
      </c>
      <c r="N143" s="562"/>
      <c r="V143" s="28"/>
      <c r="W143" s="28"/>
    </row>
    <row r="144" spans="2:23" x14ac:dyDescent="0.15">
      <c r="B144" s="8" t="s">
        <v>1905</v>
      </c>
      <c r="G144" s="91">
        <v>50</v>
      </c>
      <c r="H144" s="91">
        <v>50</v>
      </c>
      <c r="I144" s="91">
        <v>50</v>
      </c>
      <c r="J144" s="91">
        <v>50</v>
      </c>
      <c r="K144" s="91">
        <v>50</v>
      </c>
      <c r="L144" s="91">
        <v>50</v>
      </c>
      <c r="M144" s="91">
        <v>50</v>
      </c>
      <c r="V144" s="2"/>
      <c r="W144" s="2"/>
    </row>
    <row r="145" spans="2:23" x14ac:dyDescent="0.15">
      <c r="B145" s="8" t="s">
        <v>1906</v>
      </c>
      <c r="G145" s="28">
        <f t="shared" ref="G145:M145" ca="1" si="44">G133*G142*(1+G143/100)/(G144/100)/10</f>
        <v>1.493742323614107E-2</v>
      </c>
      <c r="H145" s="28">
        <f t="shared" ca="1" si="44"/>
        <v>1.493742323614107E-2</v>
      </c>
      <c r="I145" s="28">
        <f t="shared" ca="1" si="44"/>
        <v>1.493742323614107E-2</v>
      </c>
      <c r="J145" s="28">
        <f t="shared" ca="1" si="44"/>
        <v>1.493742323614107E-2</v>
      </c>
      <c r="K145" s="28">
        <f t="shared" ca="1" si="44"/>
        <v>1.493742323614107E-2</v>
      </c>
      <c r="L145" s="28">
        <f t="shared" ca="1" si="44"/>
        <v>1.493742323614107E-2</v>
      </c>
      <c r="M145" s="28">
        <f t="shared" ca="1" si="44"/>
        <v>1.493742323614107E-2</v>
      </c>
      <c r="V145" s="2"/>
      <c r="W145" s="2"/>
    </row>
    <row r="146" spans="2:23" x14ac:dyDescent="0.15">
      <c r="B146" s="8" t="s">
        <v>1907</v>
      </c>
      <c r="G146" s="7">
        <f t="shared" ref="G146:M146" ca="1" si="45">G74/INDEX($F$181:$F$184, MATCH(G153, $B$181:$B$184, 0))/(G144/100)</f>
        <v>442.51646063413193</v>
      </c>
      <c r="H146" s="7">
        <f t="shared" ca="1" si="45"/>
        <v>442.51646063413193</v>
      </c>
      <c r="I146" s="7">
        <f t="shared" ca="1" si="45"/>
        <v>442.51646063413193</v>
      </c>
      <c r="J146" s="7">
        <f t="shared" ca="1" si="45"/>
        <v>442.51646063413193</v>
      </c>
      <c r="K146" s="7">
        <f t="shared" ca="1" si="45"/>
        <v>442.51646063413193</v>
      </c>
      <c r="L146" s="7">
        <f t="shared" ca="1" si="45"/>
        <v>442.51646063413193</v>
      </c>
      <c r="M146" s="7">
        <f t="shared" ca="1" si="45"/>
        <v>442.51646063413193</v>
      </c>
      <c r="V146" s="2"/>
      <c r="W146" s="2"/>
    </row>
    <row r="147" spans="2:23" x14ac:dyDescent="0.15">
      <c r="B147" s="8" t="s">
        <v>1908</v>
      </c>
      <c r="F147" s="47"/>
      <c r="G147" s="7">
        <f ca="1">G146+G145</f>
        <v>442.53139805736805</v>
      </c>
      <c r="H147" s="7">
        <f t="shared" ref="H147:M147" ca="1" si="46">H146+H145</f>
        <v>442.53139805736805</v>
      </c>
      <c r="I147" s="7">
        <f t="shared" ca="1" si="46"/>
        <v>442.53139805736805</v>
      </c>
      <c r="J147" s="7">
        <f t="shared" ca="1" si="46"/>
        <v>442.53139805736805</v>
      </c>
      <c r="K147" s="7">
        <f t="shared" ca="1" si="46"/>
        <v>442.53139805736805</v>
      </c>
      <c r="L147" s="7">
        <f t="shared" ca="1" si="46"/>
        <v>442.53139805736805</v>
      </c>
      <c r="M147" s="7">
        <f t="shared" ca="1" si="46"/>
        <v>442.53139805736805</v>
      </c>
      <c r="V147" s="2"/>
      <c r="W147" s="2"/>
    </row>
    <row r="148" spans="2:23" ht="14" thickBot="1" x14ac:dyDescent="0.2">
      <c r="B148" s="8"/>
      <c r="F148" s="47"/>
      <c r="G148" s="2"/>
      <c r="H148" s="2"/>
      <c r="I148" s="2"/>
      <c r="J148" s="2"/>
      <c r="K148" s="2"/>
      <c r="L148" s="2"/>
      <c r="M148" s="2"/>
      <c r="V148" s="2"/>
      <c r="W148" s="2"/>
    </row>
    <row r="149" spans="2:23" ht="21" thickBot="1" x14ac:dyDescent="0.25">
      <c r="B149" s="1262" t="s">
        <v>1909</v>
      </c>
      <c r="C149" s="1263"/>
      <c r="D149" s="1263"/>
      <c r="E149" s="1263"/>
      <c r="F149" s="1263"/>
      <c r="G149" s="1263"/>
      <c r="H149" s="1263"/>
      <c r="I149" s="1263"/>
      <c r="J149" s="1263"/>
      <c r="K149" s="1263"/>
      <c r="L149" s="1263"/>
      <c r="M149" s="1264"/>
    </row>
    <row r="150" spans="2:23" x14ac:dyDescent="0.15">
      <c r="B150" s="8"/>
      <c r="G150" s="2"/>
      <c r="H150" s="2"/>
      <c r="I150" s="2"/>
      <c r="J150" s="2"/>
      <c r="K150" s="2"/>
      <c r="L150" s="2"/>
      <c r="M150" s="2"/>
    </row>
    <row r="151" spans="2:23" ht="16" x14ac:dyDescent="0.2">
      <c r="B151" s="5" t="s">
        <v>1910</v>
      </c>
      <c r="G151" s="2"/>
      <c r="H151" s="2"/>
      <c r="I151" s="2"/>
      <c r="J151" s="2"/>
      <c r="K151" s="2"/>
      <c r="L151" s="2"/>
      <c r="M151" s="2"/>
    </row>
    <row r="152" spans="2:23" x14ac:dyDescent="0.15">
      <c r="B152" s="8" t="s">
        <v>1842</v>
      </c>
      <c r="G152" s="2">
        <f t="shared" ref="G152:M152" ca="1" si="47">G74</f>
        <v>553.14557579266489</v>
      </c>
      <c r="H152" s="2">
        <f t="shared" ca="1" si="47"/>
        <v>553.14557579266489</v>
      </c>
      <c r="I152" s="2">
        <f t="shared" ca="1" si="47"/>
        <v>553.14557579266489</v>
      </c>
      <c r="J152" s="2">
        <f t="shared" ca="1" si="47"/>
        <v>553.14557579266489</v>
      </c>
      <c r="K152" s="2">
        <f t="shared" ca="1" si="47"/>
        <v>553.14557579266489</v>
      </c>
      <c r="L152" s="2">
        <f t="shared" ca="1" si="47"/>
        <v>553.14557579266489</v>
      </c>
      <c r="M152" s="2">
        <f t="shared" ca="1" si="47"/>
        <v>553.14557579266489</v>
      </c>
    </row>
    <row r="153" spans="2:23" x14ac:dyDescent="0.15">
      <c r="B153" s="8" t="s">
        <v>1911</v>
      </c>
      <c r="G153" s="45" t="str">
        <f ca="1">INDEX($B$181:$B$184, MATCH( G152, $C$180:$C$184,1))</f>
        <v>Refrig 2</v>
      </c>
      <c r="H153" s="45" t="str">
        <f t="shared" ref="H153:M153" ca="1" si="48">INDEX($B$181:$B$184, MATCH( H152, $C$180:$C$184,1))</f>
        <v>Refrig 2</v>
      </c>
      <c r="I153" s="45" t="str">
        <f t="shared" ca="1" si="48"/>
        <v>Refrig 2</v>
      </c>
      <c r="J153" s="45" t="str">
        <f t="shared" ca="1" si="48"/>
        <v>Refrig 2</v>
      </c>
      <c r="K153" s="45" t="str">
        <f t="shared" ca="1" si="48"/>
        <v>Refrig 2</v>
      </c>
      <c r="L153" s="45" t="str">
        <f t="shared" ca="1" si="48"/>
        <v>Refrig 2</v>
      </c>
      <c r="M153" s="45" t="str">
        <f t="shared" ca="1" si="48"/>
        <v>Refrig 2</v>
      </c>
    </row>
    <row r="154" spans="2:23" x14ac:dyDescent="0.15">
      <c r="B154" s="8" t="s">
        <v>1912</v>
      </c>
      <c r="C154" s="8"/>
      <c r="D154" s="8"/>
      <c r="E154" s="8"/>
      <c r="F154" s="8"/>
      <c r="G154" s="11">
        <f ca="1">G147*'Battery Design'!G12</f>
        <v>442.53139805736805</v>
      </c>
      <c r="H154" s="11">
        <f ca="1">H147*'Battery Design'!H12</f>
        <v>442.53139805736805</v>
      </c>
      <c r="I154" s="11">
        <f ca="1">I147*'Battery Design'!I12</f>
        <v>442.53139805736805</v>
      </c>
      <c r="J154" s="11">
        <f ca="1">J147*'Battery Design'!J12</f>
        <v>442.53139805736805</v>
      </c>
      <c r="K154" s="11">
        <f ca="1">K147*'Battery Design'!K12</f>
        <v>442.53139805736805</v>
      </c>
      <c r="L154" s="11">
        <f ca="1">L147*'Battery Design'!L12</f>
        <v>442.53139805736805</v>
      </c>
      <c r="M154" s="11">
        <f ca="1">M147*'Battery Design'!M12</f>
        <v>442.53139805736805</v>
      </c>
      <c r="N154" s="11"/>
      <c r="O154" s="11"/>
      <c r="P154" s="11"/>
    </row>
    <row r="155" spans="2:23" x14ac:dyDescent="0.15">
      <c r="B155" s="8" t="s">
        <v>1913</v>
      </c>
      <c r="C155" s="16"/>
      <c r="D155" s="16"/>
      <c r="E155" s="16"/>
      <c r="F155" s="16"/>
      <c r="G155" s="353">
        <f t="shared" ref="G155:M155" ca="1" si="49">MATCH(MAX(G127-G10, 0.01), $C$171:$C$175, 1)</f>
        <v>1</v>
      </c>
      <c r="H155" s="353">
        <f t="shared" ca="1" si="49"/>
        <v>1</v>
      </c>
      <c r="I155" s="353">
        <f t="shared" ca="1" si="49"/>
        <v>1</v>
      </c>
      <c r="J155" s="353">
        <f t="shared" ca="1" si="49"/>
        <v>1</v>
      </c>
      <c r="K155" s="353">
        <f t="shared" ca="1" si="49"/>
        <v>1</v>
      </c>
      <c r="L155" s="353">
        <f t="shared" ca="1" si="49"/>
        <v>1</v>
      </c>
      <c r="M155" s="353">
        <f t="shared" ca="1" si="49"/>
        <v>1</v>
      </c>
      <c r="P155" s="26"/>
    </row>
    <row r="156" spans="2:23" x14ac:dyDescent="0.15">
      <c r="B156" s="8" t="s">
        <v>1914</v>
      </c>
      <c r="C156" s="8"/>
      <c r="D156" s="8"/>
      <c r="E156" s="8"/>
      <c r="F156" s="8"/>
      <c r="G156" s="46" t="str" cm="1">
        <f t="array" aca="1" ref="G156" ca="1">INDEX($B$172:$B$175,G155)</f>
        <v>Excellent</v>
      </c>
      <c r="H156" s="46" t="str" cm="1">
        <f t="array" aca="1" ref="H156" ca="1">INDEX($B$172:$B$175,H155)</f>
        <v>Excellent</v>
      </c>
      <c r="I156" s="46" t="str" cm="1">
        <f t="array" aca="1" ref="I156" ca="1">INDEX($B$172:$B$175,I155)</f>
        <v>Excellent</v>
      </c>
      <c r="J156" s="46" t="str" cm="1">
        <f t="array" aca="1" ref="J156" ca="1">INDEX($B$172:$B$175,J155)</f>
        <v>Excellent</v>
      </c>
      <c r="K156" s="46" t="str" cm="1">
        <f t="array" aca="1" ref="K156" ca="1">INDEX($B$172:$B$175,K155)</f>
        <v>Excellent</v>
      </c>
      <c r="L156" s="46" t="str" cm="1">
        <f t="array" aca="1" ref="L156" ca="1">INDEX($B$172:$B$175,L155)</f>
        <v>Excellent</v>
      </c>
      <c r="M156" s="46" t="str" cm="1">
        <f t="array" aca="1" ref="M156" ca="1">INDEX($B$172:$B$175,M155)</f>
        <v>Excellent</v>
      </c>
      <c r="P156" s="8"/>
      <c r="Q156" s="7"/>
      <c r="R156" s="7"/>
      <c r="S156" s="7"/>
      <c r="T156" s="7"/>
      <c r="U156" s="7"/>
    </row>
    <row r="157" spans="2:23" x14ac:dyDescent="0.15">
      <c r="B157" s="8" t="s">
        <v>1915</v>
      </c>
      <c r="C157" s="16"/>
      <c r="D157" s="16"/>
      <c r="E157" s="16"/>
      <c r="F157" s="16"/>
      <c r="G157" s="481">
        <f t="shared" ref="G157:M157" ca="1" si="50">MAX(G62-G10, 0)</f>
        <v>0.41989484813963429</v>
      </c>
      <c r="H157" s="481">
        <f t="shared" ca="1" si="50"/>
        <v>0.41989484813963429</v>
      </c>
      <c r="I157" s="481">
        <f t="shared" ca="1" si="50"/>
        <v>0.41989484813963429</v>
      </c>
      <c r="J157" s="481">
        <f t="shared" ca="1" si="50"/>
        <v>0.41989484813963429</v>
      </c>
      <c r="K157" s="481">
        <f t="shared" ca="1" si="50"/>
        <v>0.41989484813963429</v>
      </c>
      <c r="L157" s="481">
        <f t="shared" ca="1" si="50"/>
        <v>0.41989484813963429</v>
      </c>
      <c r="M157" s="481">
        <f t="shared" ca="1" si="50"/>
        <v>0.41989484813963429</v>
      </c>
      <c r="P157" s="26"/>
    </row>
    <row r="158" spans="2:23" x14ac:dyDescent="0.15">
      <c r="B158" s="8" t="s">
        <v>1916</v>
      </c>
      <c r="C158" s="16"/>
      <c r="D158" s="16"/>
      <c r="E158" s="16"/>
      <c r="F158" s="16"/>
      <c r="G158" s="849">
        <f t="shared" ref="G158:M158" ca="1" si="51">INDEX($G$181:$G$184, MATCH( G153, $B$181:$B$184,1))</f>
        <v>80</v>
      </c>
      <c r="H158" s="849">
        <f t="shared" ca="1" si="51"/>
        <v>80</v>
      </c>
      <c r="I158" s="849">
        <f t="shared" ca="1" si="51"/>
        <v>80</v>
      </c>
      <c r="J158" s="849">
        <f t="shared" ca="1" si="51"/>
        <v>80</v>
      </c>
      <c r="K158" s="849">
        <f t="shared" ca="1" si="51"/>
        <v>80</v>
      </c>
      <c r="L158" s="849">
        <f t="shared" ca="1" si="51"/>
        <v>80</v>
      </c>
      <c r="M158" s="849">
        <f t="shared" ca="1" si="51"/>
        <v>80</v>
      </c>
      <c r="P158" s="26"/>
    </row>
    <row r="159" spans="2:23" ht="11.25" customHeight="1" x14ac:dyDescent="0.2">
      <c r="B159" s="555"/>
      <c r="C159" s="555"/>
      <c r="D159" s="555"/>
      <c r="E159" s="555"/>
      <c r="F159" s="555"/>
      <c r="G159" s="555"/>
      <c r="H159" s="555"/>
      <c r="I159" s="555"/>
      <c r="J159" s="555"/>
      <c r="K159" s="555"/>
      <c r="L159" s="555"/>
      <c r="M159" s="555"/>
      <c r="P159" s="26"/>
    </row>
    <row r="160" spans="2:23" ht="16" x14ac:dyDescent="0.2">
      <c r="B160" s="5" t="s">
        <v>1917</v>
      </c>
    </row>
    <row r="161" spans="2:23" ht="14" x14ac:dyDescent="0.2">
      <c r="B161" s="8" t="s">
        <v>1918</v>
      </c>
      <c r="G161" s="72">
        <f t="shared" ref="G161:L161" si="52">-15</f>
        <v>-15</v>
      </c>
      <c r="H161" s="72">
        <f t="shared" si="52"/>
        <v>-15</v>
      </c>
      <c r="I161" s="72">
        <f t="shared" si="52"/>
        <v>-15</v>
      </c>
      <c r="J161" s="72">
        <f t="shared" si="52"/>
        <v>-15</v>
      </c>
      <c r="K161" s="72">
        <f t="shared" si="52"/>
        <v>-15</v>
      </c>
      <c r="L161" s="72">
        <f t="shared" si="52"/>
        <v>-15</v>
      </c>
      <c r="M161" s="72">
        <v>-15</v>
      </c>
    </row>
    <row r="162" spans="2:23" ht="14" x14ac:dyDescent="0.2">
      <c r="B162" s="8" t="s">
        <v>1919</v>
      </c>
      <c r="G162" s="72">
        <f>5</f>
        <v>5</v>
      </c>
      <c r="H162" s="72">
        <f>5</f>
        <v>5</v>
      </c>
      <c r="I162" s="72">
        <f>5</f>
        <v>5</v>
      </c>
      <c r="J162" s="72">
        <f>5</f>
        <v>5</v>
      </c>
      <c r="K162" s="72">
        <f>5</f>
        <v>5</v>
      </c>
      <c r="L162" s="72">
        <f>5</f>
        <v>5</v>
      </c>
      <c r="M162" s="72">
        <f>5</f>
        <v>5</v>
      </c>
    </row>
    <row r="163" spans="2:23" x14ac:dyDescent="0.15">
      <c r="B163" s="8" t="s">
        <v>1920</v>
      </c>
      <c r="G163" s="2">
        <f t="shared" ref="G163:M163" ca="1" si="53">(G162-G161)*G14*G15/3600*1000</f>
        <v>2559.6970834964163</v>
      </c>
      <c r="H163" s="2">
        <f t="shared" ca="1" si="53"/>
        <v>2559.6970834964163</v>
      </c>
      <c r="I163" s="2">
        <f t="shared" ca="1" si="53"/>
        <v>2559.6970834964163</v>
      </c>
      <c r="J163" s="2">
        <f t="shared" ca="1" si="53"/>
        <v>2559.6970834964163</v>
      </c>
      <c r="K163" s="2">
        <f t="shared" ca="1" si="53"/>
        <v>2559.6970834964163</v>
      </c>
      <c r="L163" s="2">
        <f t="shared" ca="1" si="53"/>
        <v>2559.6970834964163</v>
      </c>
      <c r="M163" s="2">
        <f t="shared" ca="1" si="53"/>
        <v>2559.6970834964163</v>
      </c>
    </row>
    <row r="164" spans="2:23" x14ac:dyDescent="0.15">
      <c r="B164" s="8" t="s">
        <v>1921</v>
      </c>
      <c r="D164" s="32"/>
      <c r="G164" s="72">
        <f>1000</f>
        <v>1000</v>
      </c>
      <c r="H164" s="72">
        <f>1000</f>
        <v>1000</v>
      </c>
      <c r="I164" s="72">
        <f>1000</f>
        <v>1000</v>
      </c>
      <c r="J164" s="72">
        <f>1000</f>
        <v>1000</v>
      </c>
      <c r="K164" s="72">
        <f>1000</f>
        <v>1000</v>
      </c>
      <c r="L164" s="72">
        <f>1000</f>
        <v>1000</v>
      </c>
      <c r="M164" s="72">
        <f>1000</f>
        <v>1000</v>
      </c>
      <c r="N164" s="68"/>
      <c r="O164" s="26"/>
      <c r="P164" s="26"/>
      <c r="Q164" s="26"/>
      <c r="R164" s="26"/>
    </row>
    <row r="165" spans="2:23" x14ac:dyDescent="0.15">
      <c r="B165" s="8" t="s">
        <v>1922</v>
      </c>
      <c r="G165" s="3">
        <f ca="1">IF(G164=0,0,G163/G164*60)</f>
        <v>153.58182500978498</v>
      </c>
      <c r="H165" s="3">
        <f t="shared" ref="H165:M165" ca="1" si="54">IF(H164=0,0,H163/H164*60)</f>
        <v>153.58182500978498</v>
      </c>
      <c r="I165" s="3">
        <f t="shared" ca="1" si="54"/>
        <v>153.58182500978498</v>
      </c>
      <c r="J165" s="3">
        <f t="shared" ca="1" si="54"/>
        <v>153.58182500978498</v>
      </c>
      <c r="K165" s="3">
        <f t="shared" ca="1" si="54"/>
        <v>153.58182500978498</v>
      </c>
      <c r="L165" s="3">
        <f t="shared" ca="1" si="54"/>
        <v>153.58182500978498</v>
      </c>
      <c r="M165" s="3">
        <f t="shared" ca="1" si="54"/>
        <v>153.58182500978498</v>
      </c>
      <c r="N165" s="562"/>
    </row>
    <row r="166" spans="2:23" ht="14" thickBot="1" x14ac:dyDescent="0.2">
      <c r="B166" s="8"/>
      <c r="C166" s="16"/>
      <c r="D166" s="16"/>
      <c r="E166" s="16"/>
      <c r="F166" s="16"/>
      <c r="G166" s="481"/>
      <c r="H166" s="481"/>
      <c r="I166" s="481"/>
      <c r="J166" s="481"/>
      <c r="K166" s="481"/>
      <c r="L166" s="481"/>
      <c r="M166" s="481"/>
      <c r="P166" s="26"/>
    </row>
    <row r="167" spans="2:23" ht="21" thickBot="1" x14ac:dyDescent="0.25">
      <c r="B167" s="1262" t="s">
        <v>1923</v>
      </c>
      <c r="C167" s="1263"/>
      <c r="D167" s="1263"/>
      <c r="E167" s="1263"/>
      <c r="F167" s="1263"/>
      <c r="G167" s="1263"/>
      <c r="H167" s="1263"/>
      <c r="I167" s="1263"/>
      <c r="J167" s="1263"/>
      <c r="K167" s="1263"/>
      <c r="L167" s="1263"/>
      <c r="M167" s="1264"/>
      <c r="V167" s="2"/>
      <c r="W167" s="2"/>
    </row>
    <row r="168" spans="2:23" x14ac:dyDescent="0.15">
      <c r="B168" s="8"/>
      <c r="F168" s="47"/>
      <c r="G168" s="2"/>
      <c r="H168" s="2"/>
      <c r="I168" s="2"/>
      <c r="J168" s="2"/>
      <c r="K168" s="2"/>
      <c r="L168" s="2"/>
      <c r="M168" s="2"/>
      <c r="V168" s="2"/>
      <c r="W168" s="2"/>
    </row>
    <row r="169" spans="2:23" ht="16" x14ac:dyDescent="0.2">
      <c r="B169" s="5" t="s">
        <v>1924</v>
      </c>
      <c r="C169" s="88"/>
      <c r="D169" s="88"/>
      <c r="E169" s="88"/>
      <c r="F169" s="88"/>
      <c r="N169" s="88"/>
    </row>
    <row r="170" spans="2:23" ht="15" thickBot="1" x14ac:dyDescent="0.25">
      <c r="B170" s="26" t="s">
        <v>1925</v>
      </c>
      <c r="C170" s="26" t="s">
        <v>1926</v>
      </c>
      <c r="D170" s="1076"/>
    </row>
    <row r="171" spans="2:23" x14ac:dyDescent="0.15">
      <c r="B171" s="8"/>
      <c r="C171" s="1071">
        <v>0</v>
      </c>
      <c r="D171" s="353"/>
    </row>
    <row r="172" spans="2:23" x14ac:dyDescent="0.15">
      <c r="B172" s="8" t="s">
        <v>1927</v>
      </c>
      <c r="C172" s="1072">
        <v>5</v>
      </c>
      <c r="D172" s="849"/>
    </row>
    <row r="173" spans="2:23" x14ac:dyDescent="0.15">
      <c r="B173" s="8" t="s">
        <v>1928</v>
      </c>
      <c r="C173" s="1073">
        <v>10</v>
      </c>
      <c r="D173" s="831"/>
    </row>
    <row r="174" spans="2:23" x14ac:dyDescent="0.15">
      <c r="B174" s="8" t="s">
        <v>1929</v>
      </c>
      <c r="C174" s="1074">
        <v>15</v>
      </c>
      <c r="D174" s="353"/>
    </row>
    <row r="175" spans="2:23" ht="14" thickBot="1" x14ac:dyDescent="0.2">
      <c r="B175" s="8" t="s">
        <v>1930</v>
      </c>
      <c r="C175" s="1075">
        <v>200</v>
      </c>
      <c r="D175" s="353"/>
    </row>
    <row r="176" spans="2:23" x14ac:dyDescent="0.15">
      <c r="B176" s="8"/>
      <c r="C176" s="26"/>
    </row>
    <row r="177" spans="2:8" ht="16" x14ac:dyDescent="0.2">
      <c r="B177" s="5" t="s">
        <v>1931</v>
      </c>
    </row>
    <row r="178" spans="2:8" x14ac:dyDescent="0.15">
      <c r="B178" s="45"/>
      <c r="C178" s="45" t="s">
        <v>1932</v>
      </c>
      <c r="D178" s="3" t="s">
        <v>1933</v>
      </c>
      <c r="E178" s="3" t="s">
        <v>1933</v>
      </c>
      <c r="F178" s="3" t="s">
        <v>1934</v>
      </c>
      <c r="G178" s="3" t="s">
        <v>1100</v>
      </c>
    </row>
    <row r="179" spans="2:8" ht="14" thickBot="1" x14ac:dyDescent="0.2">
      <c r="B179" s="745" t="s">
        <v>129</v>
      </c>
      <c r="C179" s="46" t="s">
        <v>1935</v>
      </c>
      <c r="D179" s="15" t="s">
        <v>1936</v>
      </c>
      <c r="E179" s="15" t="s">
        <v>1937</v>
      </c>
      <c r="F179" s="15" t="s">
        <v>1938</v>
      </c>
      <c r="G179" s="15" t="s">
        <v>1939</v>
      </c>
    </row>
    <row r="180" spans="2:8" x14ac:dyDescent="0.15">
      <c r="B180" s="745"/>
      <c r="C180" s="1221">
        <v>0</v>
      </c>
      <c r="D180" s="1222">
        <v>0</v>
      </c>
      <c r="E180" s="1222">
        <v>0</v>
      </c>
      <c r="F180" s="1223">
        <v>0</v>
      </c>
      <c r="G180" s="1224">
        <v>0</v>
      </c>
    </row>
    <row r="181" spans="2:8" x14ac:dyDescent="0.15">
      <c r="B181" s="7" t="s">
        <v>1940</v>
      </c>
      <c r="C181" s="1067">
        <v>500</v>
      </c>
      <c r="D181" s="1066">
        <v>2</v>
      </c>
      <c r="E181" s="1066">
        <f>D181/2.5</f>
        <v>0.8</v>
      </c>
      <c r="F181" s="1090">
        <v>2.5</v>
      </c>
      <c r="G181" s="1092">
        <v>30</v>
      </c>
      <c r="H181" s="562"/>
    </row>
    <row r="182" spans="2:8" x14ac:dyDescent="0.15">
      <c r="B182" s="7" t="s">
        <v>1941</v>
      </c>
      <c r="C182" s="1067">
        <v>1000</v>
      </c>
      <c r="D182" s="1066">
        <v>3</v>
      </c>
      <c r="E182" s="1066">
        <f>D182/2.5</f>
        <v>1.2</v>
      </c>
      <c r="F182" s="1090">
        <v>2.5</v>
      </c>
      <c r="G182" s="1092">
        <v>80</v>
      </c>
    </row>
    <row r="183" spans="2:8" x14ac:dyDescent="0.15">
      <c r="B183" s="7" t="s">
        <v>1942</v>
      </c>
      <c r="C183" s="1067">
        <v>3000</v>
      </c>
      <c r="D183" s="1066">
        <v>5</v>
      </c>
      <c r="E183" s="1066">
        <f>D183/2.5</f>
        <v>2</v>
      </c>
      <c r="F183" s="1090">
        <v>2.5</v>
      </c>
      <c r="G183" s="1092">
        <v>120</v>
      </c>
    </row>
    <row r="184" spans="2:8" ht="14" thickBot="1" x14ac:dyDescent="0.2">
      <c r="B184" s="7" t="s">
        <v>1943</v>
      </c>
      <c r="C184" s="1068">
        <v>6000</v>
      </c>
      <c r="D184" s="1069">
        <v>7</v>
      </c>
      <c r="E184" s="1069">
        <f>D184/2.5</f>
        <v>2.8</v>
      </c>
      <c r="F184" s="1091">
        <v>2.5</v>
      </c>
      <c r="G184" s="1093">
        <v>200</v>
      </c>
    </row>
  </sheetData>
  <mergeCells count="14">
    <mergeCell ref="B167:M167"/>
    <mergeCell ref="N1:O1"/>
    <mergeCell ref="B76:M76"/>
    <mergeCell ref="B21:M21"/>
    <mergeCell ref="B8:M8"/>
    <mergeCell ref="B149:M149"/>
    <mergeCell ref="B1:M1"/>
    <mergeCell ref="B2:M2"/>
    <mergeCell ref="B3:M3"/>
    <mergeCell ref="B4:E4"/>
    <mergeCell ref="G4:M4"/>
    <mergeCell ref="B5:E5"/>
    <mergeCell ref="G5:M5"/>
    <mergeCell ref="B129:M129"/>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77" min="1" max="12" man="1"/>
    <brk id="110" min="1" max="12" man="1"/>
    <brk id="63" min="1" max="12"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activeCell="B6" sqref="B6"/>
    </sheetView>
  </sheetViews>
  <sheetFormatPr baseColWidth="10" defaultColWidth="8.5" defaultRowHeight="13" x14ac:dyDescent="0.15"/>
  <cols>
    <col min="2" max="2" width="13.5" customWidth="1"/>
    <col min="4" max="4" width="11.5" customWidth="1"/>
    <col min="5" max="5" width="47.5" customWidth="1"/>
    <col min="6" max="12" width="12.5" style="150" customWidth="1"/>
    <col min="13" max="13" width="10.5" customWidth="1"/>
    <col min="14" max="15" width="17.5" bestFit="1" customWidth="1"/>
    <col min="16" max="16" width="24" bestFit="1" customWidth="1"/>
  </cols>
  <sheetData>
    <row r="1" spans="1:15" ht="19" thickBot="1" x14ac:dyDescent="0.25">
      <c r="B1" s="1347" t="s">
        <v>1944</v>
      </c>
      <c r="C1" s="1349"/>
      <c r="D1" s="1349"/>
      <c r="E1" s="1349"/>
      <c r="F1" s="1349"/>
      <c r="G1" s="1349"/>
      <c r="H1" s="1349"/>
      <c r="I1" s="1349"/>
      <c r="J1" s="1349"/>
      <c r="K1" s="1349"/>
      <c r="L1" s="1349"/>
      <c r="M1" s="1350"/>
      <c r="N1" s="1260" t="s">
        <v>9</v>
      </c>
      <c r="O1" s="1261"/>
    </row>
    <row r="2" spans="1:15" ht="17" thickBot="1" x14ac:dyDescent="0.25">
      <c r="B2" s="1270" t="str">
        <f>Dashboard!B2</f>
        <v>EV with NMC532-G (Power) Electrodes</v>
      </c>
      <c r="C2" s="1271"/>
      <c r="D2" s="1271"/>
      <c r="E2" s="1271"/>
      <c r="F2" s="1271"/>
      <c r="G2" s="1271"/>
      <c r="H2" s="1271"/>
      <c r="I2" s="1271"/>
      <c r="J2" s="1271"/>
      <c r="K2" s="1271"/>
      <c r="L2" s="1271"/>
      <c r="M2" s="1272"/>
      <c r="N2" s="987" t="s">
        <v>8</v>
      </c>
      <c r="O2" s="988" t="s">
        <v>10</v>
      </c>
    </row>
    <row r="3" spans="1:15" ht="16" x14ac:dyDescent="0.2">
      <c r="B3" s="1291" t="s">
        <v>132</v>
      </c>
      <c r="C3" s="1318"/>
      <c r="D3" s="1318"/>
      <c r="E3" s="1318"/>
      <c r="F3" s="1318"/>
      <c r="G3" s="1318"/>
      <c r="H3" s="1318"/>
      <c r="I3" s="1318"/>
      <c r="J3" s="1318"/>
      <c r="K3" s="1318"/>
      <c r="L3" s="1318"/>
      <c r="M3" s="1319"/>
      <c r="N3" s="989" t="s">
        <v>15</v>
      </c>
      <c r="O3" s="988" t="s">
        <v>16</v>
      </c>
    </row>
    <row r="4" spans="1:15" x14ac:dyDescent="0.15">
      <c r="B4" s="1293" t="s">
        <v>298</v>
      </c>
      <c r="C4" s="1320"/>
      <c r="D4" s="1320"/>
      <c r="E4" s="1321"/>
      <c r="F4" s="180"/>
      <c r="G4" s="1294" t="s">
        <v>12</v>
      </c>
      <c r="H4" s="1325"/>
      <c r="I4" s="1325"/>
      <c r="J4" s="1325"/>
      <c r="K4" s="1325"/>
      <c r="L4" s="1325"/>
      <c r="M4" s="1326"/>
      <c r="N4" s="986" t="s">
        <v>17</v>
      </c>
      <c r="O4" s="988" t="s">
        <v>18</v>
      </c>
    </row>
    <row r="5" spans="1:15" ht="14" thickBot="1" x14ac:dyDescent="0.2">
      <c r="B5" s="1296" t="s">
        <v>13</v>
      </c>
      <c r="C5" s="1329"/>
      <c r="D5" s="1329"/>
      <c r="E5" s="1330"/>
      <c r="F5" s="185"/>
      <c r="G5" s="1297" t="s">
        <v>14</v>
      </c>
      <c r="H5" s="1327"/>
      <c r="I5" s="1327"/>
      <c r="J5" s="1327"/>
      <c r="K5" s="1327"/>
      <c r="L5" s="1327"/>
      <c r="M5" s="1328"/>
      <c r="N5" s="986" t="s">
        <v>20</v>
      </c>
      <c r="O5" s="992" t="s">
        <v>21</v>
      </c>
    </row>
    <row r="6" spans="1:15" ht="17" thickBot="1" x14ac:dyDescent="0.25">
      <c r="G6" s="50" t="s">
        <v>56</v>
      </c>
      <c r="H6" s="50" t="s">
        <v>57</v>
      </c>
      <c r="I6" s="50" t="s">
        <v>58</v>
      </c>
      <c r="J6" s="50" t="s">
        <v>59</v>
      </c>
      <c r="K6" s="50" t="s">
        <v>60</v>
      </c>
      <c r="L6" s="50" t="s">
        <v>61</v>
      </c>
      <c r="M6" s="50" t="s">
        <v>62</v>
      </c>
      <c r="N6" s="990" t="s">
        <v>25</v>
      </c>
      <c r="O6" s="991" t="s">
        <v>26</v>
      </c>
    </row>
    <row r="7" spans="1:15" ht="17" thickBot="1" x14ac:dyDescent="0.25">
      <c r="G7" s="50"/>
      <c r="H7" s="50"/>
      <c r="I7" s="50"/>
      <c r="J7" s="50"/>
      <c r="K7" s="50"/>
      <c r="L7" s="50"/>
      <c r="M7" s="50"/>
    </row>
    <row r="8" spans="1:15" ht="21" thickBot="1" x14ac:dyDescent="0.25">
      <c r="B8" s="1262" t="s">
        <v>1945</v>
      </c>
      <c r="C8" s="1263"/>
      <c r="D8" s="1263"/>
      <c r="E8" s="1263"/>
      <c r="F8" s="1263"/>
      <c r="G8" s="1263"/>
      <c r="H8" s="1263"/>
      <c r="I8" s="1263"/>
      <c r="J8" s="1263"/>
      <c r="K8" s="1263"/>
      <c r="L8" s="1263"/>
      <c r="M8" s="1264"/>
    </row>
    <row r="9" spans="1:15" ht="16" x14ac:dyDescent="0.2">
      <c r="B9" s="5"/>
      <c r="C9" s="8"/>
      <c r="D9" s="8"/>
      <c r="E9" s="8"/>
    </row>
    <row r="10" spans="1:15" x14ac:dyDescent="0.15">
      <c r="B10" s="8" t="s">
        <v>1946</v>
      </c>
      <c r="C10" s="8"/>
      <c r="D10" s="8"/>
      <c r="E10" s="8"/>
      <c r="G10" s="133">
        <f>'Battery Design'!G$32</f>
        <v>400</v>
      </c>
      <c r="H10" s="133">
        <f>'Battery Design'!H$32</f>
        <v>400</v>
      </c>
      <c r="I10" s="133">
        <f>'Battery Design'!I$32</f>
        <v>400</v>
      </c>
      <c r="J10" s="133">
        <f>'Battery Design'!J$32</f>
        <v>400</v>
      </c>
      <c r="K10" s="133">
        <f>'Battery Design'!K$32</f>
        <v>400</v>
      </c>
      <c r="L10" s="133">
        <f>'Battery Design'!L$32</f>
        <v>400</v>
      </c>
      <c r="M10" s="133">
        <f>'Battery Design'!M$32</f>
        <v>400</v>
      </c>
    </row>
    <row r="11" spans="1:15" x14ac:dyDescent="0.15">
      <c r="B11" s="8" t="s">
        <v>1947</v>
      </c>
      <c r="C11" s="8"/>
      <c r="D11" s="8"/>
      <c r="E11" s="8"/>
      <c r="G11" s="345">
        <f>'Battery Design'!G$29*G12</f>
        <v>20</v>
      </c>
      <c r="H11" s="345">
        <f>'Battery Design'!H$29*H12</f>
        <v>20</v>
      </c>
      <c r="I11" s="345">
        <f>'Battery Design'!I$29*I12</f>
        <v>20</v>
      </c>
      <c r="J11" s="345">
        <f>'Battery Design'!J$29*J12</f>
        <v>20</v>
      </c>
      <c r="K11" s="345">
        <f>'Battery Design'!K$29*K12</f>
        <v>20</v>
      </c>
      <c r="L11" s="345">
        <f>'Battery Design'!L$29*L12</f>
        <v>20</v>
      </c>
      <c r="M11" s="345">
        <f>'Battery Design'!M$29*M12</f>
        <v>20</v>
      </c>
    </row>
    <row r="12" spans="1:15" x14ac:dyDescent="0.15">
      <c r="B12" s="8" t="s">
        <v>1065</v>
      </c>
      <c r="C12" s="8"/>
      <c r="D12" s="8"/>
      <c r="E12" s="8"/>
      <c r="G12" s="345">
        <f>'Battery Design'!G$12</f>
        <v>1</v>
      </c>
      <c r="H12" s="345">
        <f>'Battery Design'!H$12</f>
        <v>1</v>
      </c>
      <c r="I12" s="345">
        <f>'Battery Design'!I$12</f>
        <v>1</v>
      </c>
      <c r="J12" s="345">
        <f>'Battery Design'!J$12</f>
        <v>1</v>
      </c>
      <c r="K12" s="345">
        <f>'Battery Design'!K$12</f>
        <v>1</v>
      </c>
      <c r="L12" s="345">
        <f>'Battery Design'!L$12</f>
        <v>1</v>
      </c>
      <c r="M12" s="345">
        <f>'Battery Design'!M$12</f>
        <v>1</v>
      </c>
    </row>
    <row r="13" spans="1:15" x14ac:dyDescent="0.15">
      <c r="B13" s="8"/>
      <c r="C13" s="8"/>
      <c r="D13" s="8"/>
      <c r="E13" s="8"/>
      <c r="F13" s="164"/>
      <c r="G13" s="164"/>
      <c r="H13" s="164"/>
      <c r="I13" s="164"/>
      <c r="J13" s="164"/>
      <c r="K13" s="164"/>
      <c r="L13" s="164"/>
    </row>
    <row r="14" spans="1:15" ht="14" thickBot="1" x14ac:dyDescent="0.2">
      <c r="B14" s="8"/>
      <c r="C14" s="8"/>
      <c r="D14" s="8"/>
      <c r="E14" s="8"/>
      <c r="F14" s="164"/>
      <c r="G14" s="164"/>
      <c r="H14" s="164"/>
      <c r="I14" s="164"/>
      <c r="J14" s="164"/>
      <c r="K14" s="164"/>
      <c r="L14" s="164"/>
    </row>
    <row r="15" spans="1:15" ht="21" thickBot="1" x14ac:dyDescent="0.25">
      <c r="B15" s="1262" t="s">
        <v>1948</v>
      </c>
      <c r="C15" s="1263"/>
      <c r="D15" s="1263"/>
      <c r="E15" s="1263"/>
      <c r="F15" s="1263"/>
      <c r="G15" s="1263"/>
      <c r="H15" s="1263"/>
      <c r="I15" s="1263"/>
      <c r="J15" s="1263"/>
      <c r="K15" s="1263"/>
      <c r="L15" s="1263"/>
      <c r="M15" s="1264"/>
    </row>
    <row r="16" spans="1:15" ht="16" x14ac:dyDescent="0.2">
      <c r="A16" s="1214"/>
      <c r="B16" s="90"/>
      <c r="C16" s="8"/>
      <c r="D16" s="8"/>
      <c r="E16" s="8"/>
      <c r="F16" s="133"/>
      <c r="G16" s="133"/>
      <c r="H16" s="133"/>
      <c r="I16" s="133"/>
      <c r="J16" s="133"/>
      <c r="K16" s="133"/>
      <c r="L16" s="133"/>
    </row>
    <row r="17" spans="1:21" ht="16" x14ac:dyDescent="0.2">
      <c r="B17" s="949" t="s">
        <v>1949</v>
      </c>
      <c r="C17" s="950"/>
      <c r="D17" s="950"/>
      <c r="E17" s="950" t="s">
        <v>1950</v>
      </c>
      <c r="F17" s="950"/>
      <c r="G17" s="797" t="s">
        <v>1936</v>
      </c>
      <c r="H17" s="797" t="s">
        <v>1936</v>
      </c>
      <c r="I17" s="797" t="s">
        <v>1936</v>
      </c>
      <c r="J17" s="797" t="s">
        <v>1936</v>
      </c>
      <c r="K17" s="797" t="s">
        <v>1936</v>
      </c>
      <c r="L17" s="797" t="s">
        <v>1936</v>
      </c>
      <c r="M17" s="798" t="s">
        <v>1936</v>
      </c>
    </row>
    <row r="18" spans="1:21" x14ac:dyDescent="0.15">
      <c r="B18" s="771" t="s">
        <v>1951</v>
      </c>
      <c r="C18" s="772"/>
      <c r="D18" s="772"/>
      <c r="E18" s="772"/>
      <c r="F18" s="170"/>
      <c r="G18" s="773">
        <f ca="1">'Battery Design'!G$82/1000*G10</f>
        <v>371.91007764683775</v>
      </c>
      <c r="H18" s="773">
        <f ca="1">'Battery Design'!H$82/1000*H10</f>
        <v>371.91007764683775</v>
      </c>
      <c r="I18" s="773">
        <f ca="1">'Battery Design'!I$82/1000*I10</f>
        <v>371.91007764683775</v>
      </c>
      <c r="J18" s="773">
        <f ca="1">'Battery Design'!J$82/1000*J10</f>
        <v>371.91007764683775</v>
      </c>
      <c r="K18" s="773">
        <f ca="1">'Battery Design'!K$82/1000*K10</f>
        <v>371.91007764683775</v>
      </c>
      <c r="L18" s="773">
        <f ca="1">'Battery Design'!L$82/1000*L10</f>
        <v>371.91007764683775</v>
      </c>
      <c r="M18" s="774">
        <f ca="1">'Battery Design'!M$82/1000*M10</f>
        <v>371.91007764683775</v>
      </c>
      <c r="O18" s="47"/>
    </row>
    <row r="19" spans="1:21" x14ac:dyDescent="0.15">
      <c r="B19" s="768" t="s">
        <v>1952</v>
      </c>
      <c r="C19" s="769"/>
      <c r="D19" s="769"/>
      <c r="E19" s="769"/>
      <c r="F19" s="170"/>
      <c r="G19" s="770"/>
      <c r="H19" s="770"/>
      <c r="I19" s="770"/>
      <c r="J19" s="770"/>
      <c r="K19" s="770"/>
      <c r="L19" s="770"/>
      <c r="M19" s="775"/>
    </row>
    <row r="20" spans="1:21" x14ac:dyDescent="0.15">
      <c r="B20" s="169" t="s">
        <v>1953</v>
      </c>
      <c r="C20" s="752"/>
      <c r="D20" s="752"/>
      <c r="E20" s="752" t="s">
        <v>1954</v>
      </c>
      <c r="F20" s="170"/>
      <c r="G20" s="753">
        <f ca="1">'Battery Design'!G$358*G11-G18-G21</f>
        <v>36.776818947918755</v>
      </c>
      <c r="H20" s="753">
        <f ca="1">'Battery Design'!H$358*H11-H18-H21</f>
        <v>36.776818947918755</v>
      </c>
      <c r="I20" s="753">
        <f ca="1">'Battery Design'!I$358*I11-I18-I21</f>
        <v>36.776818947918755</v>
      </c>
      <c r="J20" s="753">
        <f ca="1">'Battery Design'!J$358*J11-J18-J21</f>
        <v>36.776818947918755</v>
      </c>
      <c r="K20" s="753">
        <f ca="1">'Battery Design'!K$358*K11-K18-K21</f>
        <v>36.776818947918755</v>
      </c>
      <c r="L20" s="753">
        <f ca="1">'Battery Design'!L$358*L11-L18-L21</f>
        <v>36.776818947918755</v>
      </c>
      <c r="M20" s="754">
        <f ca="1">'Battery Design'!M$358*M11-M18-M21</f>
        <v>36.776818947918755</v>
      </c>
    </row>
    <row r="21" spans="1:21" x14ac:dyDescent="0.15">
      <c r="A21" s="1214"/>
      <c r="B21" s="771" t="s">
        <v>1955</v>
      </c>
      <c r="C21" s="772"/>
      <c r="D21" s="772"/>
      <c r="E21" s="772" t="s">
        <v>1956</v>
      </c>
      <c r="F21" s="170"/>
      <c r="G21" s="773">
        <f ca="1">('Battery Design'!G$345/1000+'Battery Design'!G322/1000)*G11</f>
        <v>7.6845342386885553</v>
      </c>
      <c r="H21" s="773">
        <f ca="1">('Battery Design'!H$345/1000+'Battery Design'!H322/1000)*H11</f>
        <v>7.6845342386885553</v>
      </c>
      <c r="I21" s="773">
        <f ca="1">('Battery Design'!I$345/1000+'Battery Design'!I322/1000)*I11</f>
        <v>7.6845342386885553</v>
      </c>
      <c r="J21" s="773">
        <f ca="1">('Battery Design'!J$345/1000+'Battery Design'!J322/1000)*J11</f>
        <v>7.6845342386885553</v>
      </c>
      <c r="K21" s="773">
        <f ca="1">('Battery Design'!K$345/1000+'Battery Design'!K322/1000)*K11</f>
        <v>7.6845342386885553</v>
      </c>
      <c r="L21" s="773">
        <f ca="1">('Battery Design'!L$345/1000+'Battery Design'!L322/1000)*L11</f>
        <v>7.6845342386885553</v>
      </c>
      <c r="M21" s="774">
        <f ca="1">('Battery Design'!M$345/1000+'Battery Design'!M322/1000)*M11</f>
        <v>7.6845342386885553</v>
      </c>
    </row>
    <row r="22" spans="1:21" x14ac:dyDescent="0.15">
      <c r="B22" s="771" t="s">
        <v>1957</v>
      </c>
      <c r="C22" s="772"/>
      <c r="D22" s="772"/>
      <c r="E22" s="772"/>
      <c r="F22" s="170"/>
      <c r="G22" s="773"/>
      <c r="H22" s="773"/>
      <c r="I22" s="773"/>
      <c r="J22" s="773"/>
      <c r="K22" s="773"/>
      <c r="L22" s="773"/>
      <c r="M22" s="774"/>
    </row>
    <row r="23" spans="1:21" x14ac:dyDescent="0.15">
      <c r="B23" s="169" t="s">
        <v>1958</v>
      </c>
      <c r="C23" s="752"/>
      <c r="D23" s="752"/>
      <c r="E23" s="752" t="s">
        <v>1959</v>
      </c>
      <c r="F23" s="170"/>
      <c r="G23" s="753">
        <f ca="1">('Battery Design'!G$458-'Battery Design'!G$457-G25)*G12 + 'Battery Design'!G394*'Battery Design'!G28</f>
        <v>127.18771440059058</v>
      </c>
      <c r="H23" s="753">
        <f ca="1">('Battery Design'!H$458-'Battery Design'!H$457-H25)*H12 + 'Battery Design'!H394*'Battery Design'!H28</f>
        <v>127.18771440059058</v>
      </c>
      <c r="I23" s="753">
        <f ca="1">('Battery Design'!I$458-'Battery Design'!I$457-I25)*I12 + 'Battery Design'!I394*'Battery Design'!I28</f>
        <v>127.18771440059058</v>
      </c>
      <c r="J23" s="753">
        <f ca="1">('Battery Design'!J$458-'Battery Design'!J$457-J25)*J12 + 'Battery Design'!J394*'Battery Design'!J28</f>
        <v>127.18771440059058</v>
      </c>
      <c r="K23" s="753">
        <f ca="1">('Battery Design'!K$458-'Battery Design'!K$457-K25)*K12 + 'Battery Design'!K394*'Battery Design'!K28</f>
        <v>127.18771440059058</v>
      </c>
      <c r="L23" s="753">
        <f ca="1">('Battery Design'!L$458-'Battery Design'!L$457-L25)*L12 + 'Battery Design'!L394*'Battery Design'!L28</f>
        <v>127.18771440059058</v>
      </c>
      <c r="M23" s="754">
        <f ca="1">('Battery Design'!M$458-'Battery Design'!M$457-M25)*M12 + 'Battery Design'!M394*'Battery Design'!M28</f>
        <v>127.18771440059058</v>
      </c>
      <c r="O23" s="47"/>
      <c r="P23" s="47"/>
      <c r="Q23" s="47"/>
      <c r="R23" s="47"/>
      <c r="S23" s="47"/>
      <c r="T23" s="47"/>
      <c r="U23" s="47"/>
    </row>
    <row r="24" spans="1:21" x14ac:dyDescent="0.15">
      <c r="B24" s="169" t="s">
        <v>1960</v>
      </c>
      <c r="C24" s="752"/>
      <c r="D24" s="752"/>
      <c r="E24" s="752" t="s">
        <v>1961</v>
      </c>
      <c r="F24" s="170"/>
      <c r="G24" s="753">
        <f ca="1">('Battery Design'!G$457+'Battery Design'!G$412)*G12</f>
        <v>32.800984308014584</v>
      </c>
      <c r="H24" s="753">
        <f ca="1">('Battery Design'!H$457+'Battery Design'!H$412)*H12</f>
        <v>32.800984308014584</v>
      </c>
      <c r="I24" s="753">
        <f ca="1">('Battery Design'!I$457+'Battery Design'!I$412)*I12</f>
        <v>32.800984308014584</v>
      </c>
      <c r="J24" s="753">
        <f ca="1">('Battery Design'!J$457+'Battery Design'!J$412)*J12</f>
        <v>32.800984308014584</v>
      </c>
      <c r="K24" s="753">
        <f ca="1">('Battery Design'!K$457+'Battery Design'!K$412)*K12</f>
        <v>32.800984308014584</v>
      </c>
      <c r="L24" s="753">
        <f ca="1">('Battery Design'!L$457+'Battery Design'!L$412)*L12</f>
        <v>32.800984308014584</v>
      </c>
      <c r="M24" s="754">
        <f ca="1">('Battery Design'!M$457+'Battery Design'!M$412)*M12</f>
        <v>32.800984308014584</v>
      </c>
    </row>
    <row r="25" spans="1:21" x14ac:dyDescent="0.15">
      <c r="B25" s="169" t="s">
        <v>1962</v>
      </c>
      <c r="C25" s="752"/>
      <c r="D25" s="752"/>
      <c r="E25" s="752" t="s">
        <v>1963</v>
      </c>
      <c r="F25" s="170"/>
      <c r="G25" s="753">
        <f ca="1">('Battery Design'!G$454+'Battery Design'!G$453*('Battery Design'!G$29+1))/1000*G12</f>
        <v>2.0098600110850287</v>
      </c>
      <c r="H25" s="753">
        <f ca="1">('Battery Design'!H$454+'Battery Design'!H$453*('Battery Design'!H$29+1))/1000*H12</f>
        <v>2.0098600110850287</v>
      </c>
      <c r="I25" s="753">
        <f ca="1">('Battery Design'!I$454+'Battery Design'!I$453*('Battery Design'!I$29+1))/1000*I12</f>
        <v>2.0098600110850287</v>
      </c>
      <c r="J25" s="753">
        <f ca="1">('Battery Design'!J$454+'Battery Design'!J$453*('Battery Design'!J$29+1))/1000*J12</f>
        <v>2.0098600110850287</v>
      </c>
      <c r="K25" s="753">
        <f ca="1">('Battery Design'!K$454+'Battery Design'!K$453*('Battery Design'!K$29+1))/1000*K12</f>
        <v>2.0098600110850287</v>
      </c>
      <c r="L25" s="753">
        <f ca="1">('Battery Design'!L$454+'Battery Design'!L$453*('Battery Design'!L$29+1))/1000*L12</f>
        <v>2.0098600110850287</v>
      </c>
      <c r="M25" s="754">
        <f ca="1">('Battery Design'!M$454+'Battery Design'!M$453*('Battery Design'!M$29+1))/1000*M12</f>
        <v>2.0098600110850287</v>
      </c>
    </row>
    <row r="26" spans="1:21" x14ac:dyDescent="0.15">
      <c r="B26" s="169" t="s">
        <v>1964</v>
      </c>
      <c r="C26" s="752"/>
      <c r="D26" s="752"/>
      <c r="E26" s="752" t="s">
        <v>1965</v>
      </c>
      <c r="F26" s="170"/>
      <c r="G26" s="753">
        <f ca="1">'Battery Design'!G$459*G12</f>
        <v>3.5776000000000003</v>
      </c>
      <c r="H26" s="753">
        <f ca="1">'Battery Design'!H$459*H12</f>
        <v>3.5776000000000003</v>
      </c>
      <c r="I26" s="753">
        <f ca="1">'Battery Design'!I$459*I12</f>
        <v>3.5776000000000003</v>
      </c>
      <c r="J26" s="753">
        <f ca="1">'Battery Design'!J$459*J12</f>
        <v>3.5776000000000003</v>
      </c>
      <c r="K26" s="753">
        <f ca="1">'Battery Design'!K$459*K12</f>
        <v>3.5776000000000003</v>
      </c>
      <c r="L26" s="753">
        <f ca="1">'Battery Design'!L$459*L12</f>
        <v>3.5776000000000003</v>
      </c>
      <c r="M26" s="754">
        <f ca="1">'Battery Design'!M$459*M12</f>
        <v>3.5776000000000003</v>
      </c>
    </row>
    <row r="27" spans="1:21" x14ac:dyDescent="0.15">
      <c r="B27" s="169" t="s">
        <v>1966</v>
      </c>
      <c r="C27" s="752"/>
      <c r="D27" s="752"/>
      <c r="E27" s="752"/>
      <c r="F27" s="170"/>
      <c r="G27" s="753">
        <f t="shared" ref="G27:M27" ca="1" si="0">SUM(G18:G26)</f>
        <v>581.94758955313523</v>
      </c>
      <c r="H27" s="753">
        <f t="shared" ca="1" si="0"/>
        <v>581.94758955313523</v>
      </c>
      <c r="I27" s="753">
        <f t="shared" ca="1" si="0"/>
        <v>581.94758955313523</v>
      </c>
      <c r="J27" s="753">
        <f t="shared" ca="1" si="0"/>
        <v>581.94758955313523</v>
      </c>
      <c r="K27" s="753">
        <f t="shared" ca="1" si="0"/>
        <v>581.94758955313523</v>
      </c>
      <c r="L27" s="753">
        <f t="shared" ca="1" si="0"/>
        <v>581.94758955313523</v>
      </c>
      <c r="M27" s="754">
        <f t="shared" ca="1" si="0"/>
        <v>581.94758955313523</v>
      </c>
      <c r="O27" s="47"/>
    </row>
    <row r="28" spans="1:21" x14ac:dyDescent="0.15">
      <c r="B28" s="169" t="s">
        <v>1967</v>
      </c>
      <c r="C28" s="752"/>
      <c r="D28" s="752"/>
      <c r="E28" s="752" t="s">
        <v>1968</v>
      </c>
      <c r="F28" s="170"/>
      <c r="G28" s="753">
        <f ca="1">'Battery Design'!G$467</f>
        <v>3</v>
      </c>
      <c r="H28" s="753">
        <f ca="1">'Battery Design'!H$467</f>
        <v>3</v>
      </c>
      <c r="I28" s="753">
        <f ca="1">'Battery Design'!I$467</f>
        <v>3</v>
      </c>
      <c r="J28" s="753">
        <f ca="1">'Battery Design'!J$467</f>
        <v>3</v>
      </c>
      <c r="K28" s="753">
        <f ca="1">'Battery Design'!K$467</f>
        <v>3</v>
      </c>
      <c r="L28" s="753">
        <f ca="1">'Battery Design'!L$467</f>
        <v>3</v>
      </c>
      <c r="M28" s="754">
        <f ca="1">'Battery Design'!M$467</f>
        <v>3</v>
      </c>
    </row>
    <row r="29" spans="1:21" x14ac:dyDescent="0.15">
      <c r="B29" s="169" t="s">
        <v>1969</v>
      </c>
      <c r="C29" s="752"/>
      <c r="D29" s="752"/>
      <c r="E29" s="752"/>
      <c r="F29" s="170"/>
      <c r="G29" s="753">
        <f t="shared" ref="G29:M29" ca="1" si="1">G27+G28</f>
        <v>584.94758955313523</v>
      </c>
      <c r="H29" s="753">
        <f t="shared" ca="1" si="1"/>
        <v>584.94758955313523</v>
      </c>
      <c r="I29" s="753">
        <f t="shared" ca="1" si="1"/>
        <v>584.94758955313523</v>
      </c>
      <c r="J29" s="753">
        <f t="shared" ca="1" si="1"/>
        <v>584.94758955313523</v>
      </c>
      <c r="K29" s="753">
        <f t="shared" ca="1" si="1"/>
        <v>584.94758955313523</v>
      </c>
      <c r="L29" s="753">
        <f t="shared" ca="1" si="1"/>
        <v>584.94758955313523</v>
      </c>
      <c r="M29" s="754">
        <f t="shared" ca="1" si="1"/>
        <v>584.94758955313523</v>
      </c>
    </row>
    <row r="30" spans="1:21" x14ac:dyDescent="0.15">
      <c r="A30" s="8" t="s">
        <v>352</v>
      </c>
      <c r="B30" s="169" t="s">
        <v>1970</v>
      </c>
      <c r="C30" s="752"/>
      <c r="D30" s="752"/>
      <c r="E30" s="752"/>
      <c r="F30" s="170"/>
      <c r="G30" s="755">
        <f t="shared" ref="G30:M30" ca="1" si="2">G18/G27</f>
        <v>0.63907830245060271</v>
      </c>
      <c r="H30" s="755">
        <f t="shared" ca="1" si="2"/>
        <v>0.63907830245060271</v>
      </c>
      <c r="I30" s="755">
        <f t="shared" ca="1" si="2"/>
        <v>0.63907830245060271</v>
      </c>
      <c r="J30" s="755">
        <f t="shared" ca="1" si="2"/>
        <v>0.63907830245060271</v>
      </c>
      <c r="K30" s="755">
        <f t="shared" ca="1" si="2"/>
        <v>0.63907830245060271</v>
      </c>
      <c r="L30" s="755">
        <f t="shared" ca="1" si="2"/>
        <v>0.63907830245060271</v>
      </c>
      <c r="M30" s="756">
        <f t="shared" ca="1" si="2"/>
        <v>0.63907830245060271</v>
      </c>
    </row>
    <row r="31" spans="1:21" x14ac:dyDescent="0.15">
      <c r="A31" s="1214"/>
      <c r="B31" s="8"/>
      <c r="C31" s="8"/>
      <c r="D31" s="8"/>
      <c r="E31" s="8"/>
      <c r="F31" s="133"/>
      <c r="G31" s="133"/>
      <c r="H31" s="133"/>
      <c r="I31" s="133"/>
      <c r="J31" s="133"/>
      <c r="K31" s="133"/>
      <c r="L31" s="133"/>
    </row>
    <row r="32" spans="1:21" x14ac:dyDescent="0.15">
      <c r="A32" s="1214"/>
      <c r="B32" s="8"/>
      <c r="C32" s="8"/>
      <c r="D32" s="8"/>
      <c r="E32" s="8"/>
      <c r="F32" s="133"/>
      <c r="G32" s="133"/>
      <c r="H32" s="133"/>
      <c r="I32" s="133"/>
      <c r="J32" s="133"/>
      <c r="K32" s="133"/>
      <c r="L32" s="133"/>
    </row>
    <row r="33" spans="1:13" x14ac:dyDescent="0.15">
      <c r="A33" s="1214"/>
      <c r="B33" s="8"/>
      <c r="C33" s="8"/>
      <c r="D33" s="8"/>
      <c r="E33" s="8"/>
      <c r="F33" s="133"/>
      <c r="G33" s="133"/>
      <c r="H33" s="133"/>
      <c r="I33" s="133"/>
      <c r="J33" s="133"/>
      <c r="K33" s="133"/>
      <c r="L33" s="133"/>
    </row>
    <row r="34" spans="1:13" ht="16" x14ac:dyDescent="0.2">
      <c r="B34" s="793" t="s">
        <v>1949</v>
      </c>
      <c r="C34" s="794"/>
      <c r="D34" s="794"/>
      <c r="E34" s="794" t="s">
        <v>1950</v>
      </c>
      <c r="F34" s="794"/>
      <c r="G34" s="795" t="s">
        <v>1937</v>
      </c>
      <c r="H34" s="795" t="s">
        <v>1937</v>
      </c>
      <c r="I34" s="795" t="s">
        <v>1937</v>
      </c>
      <c r="J34" s="795" t="s">
        <v>1937</v>
      </c>
      <c r="K34" s="795" t="s">
        <v>1937</v>
      </c>
      <c r="L34" s="795" t="s">
        <v>1937</v>
      </c>
      <c r="M34" s="796" t="s">
        <v>1937</v>
      </c>
    </row>
    <row r="35" spans="1:13" x14ac:dyDescent="0.15">
      <c r="B35" s="778" t="s">
        <v>1951</v>
      </c>
      <c r="C35" s="779"/>
      <c r="D35" s="779"/>
      <c r="E35" s="779"/>
      <c r="F35" s="168"/>
      <c r="G35" s="780">
        <f ca="1">'Battery Design'!G$313/1000*G10</f>
        <v>193.04470387045941</v>
      </c>
      <c r="H35" s="780">
        <f ca="1">'Battery Design'!H$313/1000*H10</f>
        <v>193.04470387045941</v>
      </c>
      <c r="I35" s="780">
        <f ca="1">'Battery Design'!I$313/1000*I10</f>
        <v>193.04470387045941</v>
      </c>
      <c r="J35" s="780">
        <f ca="1">'Battery Design'!J$313/1000*J10</f>
        <v>193.04470387045941</v>
      </c>
      <c r="K35" s="780">
        <f ca="1">'Battery Design'!K$313/1000*K10</f>
        <v>193.04470387045941</v>
      </c>
      <c r="L35" s="780">
        <f ca="1">'Battery Design'!L$313/1000*L10</f>
        <v>193.04470387045941</v>
      </c>
      <c r="M35" s="781">
        <f ca="1">'Battery Design'!M$313/1000*M10</f>
        <v>193.04470387045941</v>
      </c>
    </row>
    <row r="36" spans="1:13" x14ac:dyDescent="0.15">
      <c r="B36" s="167" t="s">
        <v>1952</v>
      </c>
      <c r="C36" s="757"/>
      <c r="D36" s="757"/>
      <c r="E36" s="757"/>
      <c r="F36" s="168"/>
      <c r="G36" s="758"/>
      <c r="H36" s="758"/>
      <c r="I36" s="758"/>
      <c r="J36" s="758"/>
      <c r="K36" s="758"/>
      <c r="L36" s="758"/>
      <c r="M36" s="759"/>
    </row>
    <row r="37" spans="1:13" x14ac:dyDescent="0.15">
      <c r="B37" s="167" t="s">
        <v>1953</v>
      </c>
      <c r="C37" s="757"/>
      <c r="D37" s="757"/>
      <c r="E37" s="757" t="s">
        <v>1954</v>
      </c>
      <c r="F37" s="168"/>
      <c r="G37" s="758">
        <f ca="1">'Battery Design'!G$357*G11-G35-'Battery Design'!G$313/1000</f>
        <v>12.438214453556197</v>
      </c>
      <c r="H37" s="758">
        <f ca="1">'Battery Design'!H$357*H11-H35-'Battery Design'!H$313/1000</f>
        <v>12.438214453556197</v>
      </c>
      <c r="I37" s="758">
        <f ca="1">'Battery Design'!I$357*I11-I35-'Battery Design'!I$313/1000</f>
        <v>12.438214453556197</v>
      </c>
      <c r="J37" s="758">
        <f ca="1">'Battery Design'!J$357*J11-J35-'Battery Design'!J$313/1000</f>
        <v>12.438214453556197</v>
      </c>
      <c r="K37" s="758">
        <f ca="1">'Battery Design'!K$357*K11-K35-'Battery Design'!K$313/1000</f>
        <v>12.438214453556197</v>
      </c>
      <c r="L37" s="758">
        <f ca="1">'Battery Design'!L$357*L11-L35-'Battery Design'!L$313/1000</f>
        <v>12.438214453556197</v>
      </c>
      <c r="M37" s="759">
        <f ca="1">'Battery Design'!M$357*M11-M35-'Battery Design'!M$313/1000</f>
        <v>12.438214453556197</v>
      </c>
    </row>
    <row r="38" spans="1:13" x14ac:dyDescent="0.15">
      <c r="B38" s="167" t="s">
        <v>1955</v>
      </c>
      <c r="C38" s="757"/>
      <c r="D38" s="757"/>
      <c r="E38" s="757" t="s">
        <v>1956</v>
      </c>
      <c r="F38" s="168"/>
      <c r="G38" s="782" t="s">
        <v>1971</v>
      </c>
      <c r="H38" s="782" t="s">
        <v>1971</v>
      </c>
      <c r="I38" s="783" t="s">
        <v>1971</v>
      </c>
      <c r="J38" s="783" t="s">
        <v>1971</v>
      </c>
      <c r="K38" s="783" t="s">
        <v>1971</v>
      </c>
      <c r="L38" s="783" t="s">
        <v>1971</v>
      </c>
      <c r="M38" s="784" t="s">
        <v>1971</v>
      </c>
    </row>
    <row r="39" spans="1:13" x14ac:dyDescent="0.15">
      <c r="A39" s="8"/>
      <c r="B39" s="167" t="s">
        <v>1957</v>
      </c>
      <c r="C39" s="757"/>
      <c r="D39" s="757"/>
      <c r="E39" s="757"/>
      <c r="F39" s="168"/>
      <c r="G39" s="758"/>
      <c r="H39" s="758"/>
      <c r="I39" s="758"/>
      <c r="J39" s="758"/>
      <c r="K39" s="758"/>
      <c r="L39" s="758"/>
      <c r="M39" s="759"/>
    </row>
    <row r="40" spans="1:13" x14ac:dyDescent="0.15">
      <c r="B40" s="167" t="s">
        <v>1958</v>
      </c>
      <c r="C40" s="757"/>
      <c r="D40" s="757"/>
      <c r="E40" s="757" t="s">
        <v>1959</v>
      </c>
      <c r="F40" s="168"/>
      <c r="G40" s="783" t="s">
        <v>1971</v>
      </c>
      <c r="H40" s="783" t="s">
        <v>1971</v>
      </c>
      <c r="I40" s="783" t="s">
        <v>1971</v>
      </c>
      <c r="J40" s="783" t="s">
        <v>1971</v>
      </c>
      <c r="K40" s="783" t="s">
        <v>1971</v>
      </c>
      <c r="L40" s="783" t="s">
        <v>1971</v>
      </c>
      <c r="M40" s="785" t="s">
        <v>1971</v>
      </c>
    </row>
    <row r="41" spans="1:13" x14ac:dyDescent="0.15">
      <c r="B41" s="167" t="s">
        <v>1960</v>
      </c>
      <c r="C41" s="757"/>
      <c r="D41" s="757"/>
      <c r="E41" s="757" t="s">
        <v>1961</v>
      </c>
      <c r="F41" s="168"/>
      <c r="G41" s="783" t="s">
        <v>1971</v>
      </c>
      <c r="H41" s="783" t="s">
        <v>1971</v>
      </c>
      <c r="I41" s="783" t="s">
        <v>1971</v>
      </c>
      <c r="J41" s="783" t="s">
        <v>1971</v>
      </c>
      <c r="K41" s="783" t="s">
        <v>1971</v>
      </c>
      <c r="L41" s="783" t="s">
        <v>1971</v>
      </c>
      <c r="M41" s="785" t="s">
        <v>1971</v>
      </c>
    </row>
    <row r="42" spans="1:13" x14ac:dyDescent="0.15">
      <c r="A42" s="8"/>
      <c r="B42" s="167" t="s">
        <v>1962</v>
      </c>
      <c r="C42" s="757"/>
      <c r="D42" s="757"/>
      <c r="E42" s="757" t="s">
        <v>1963</v>
      </c>
      <c r="F42" s="168"/>
      <c r="G42" s="783" t="s">
        <v>1971</v>
      </c>
      <c r="H42" s="783" t="s">
        <v>1971</v>
      </c>
      <c r="I42" s="783" t="s">
        <v>1971</v>
      </c>
      <c r="J42" s="783" t="s">
        <v>1971</v>
      </c>
      <c r="K42" s="783" t="s">
        <v>1971</v>
      </c>
      <c r="L42" s="783" t="s">
        <v>1971</v>
      </c>
      <c r="M42" s="785" t="s">
        <v>1971</v>
      </c>
    </row>
    <row r="43" spans="1:13" x14ac:dyDescent="0.15">
      <c r="B43" s="776" t="s">
        <v>1964</v>
      </c>
      <c r="C43" s="777"/>
      <c r="D43" s="777"/>
      <c r="E43" s="777" t="s">
        <v>1965</v>
      </c>
      <c r="F43" s="168"/>
      <c r="G43" s="783" t="s">
        <v>1971</v>
      </c>
      <c r="H43" s="783" t="s">
        <v>1971</v>
      </c>
      <c r="I43" s="783" t="s">
        <v>1971</v>
      </c>
      <c r="J43" s="783" t="s">
        <v>1971</v>
      </c>
      <c r="K43" s="783" t="s">
        <v>1971</v>
      </c>
      <c r="L43" s="783" t="s">
        <v>1971</v>
      </c>
      <c r="M43" s="785" t="s">
        <v>1971</v>
      </c>
    </row>
    <row r="44" spans="1:13" x14ac:dyDescent="0.15">
      <c r="B44" s="167" t="s">
        <v>1966</v>
      </c>
      <c r="C44" s="757"/>
      <c r="D44" s="757"/>
      <c r="E44" s="757"/>
      <c r="F44" s="168"/>
      <c r="G44" s="758">
        <f ca="1">'Battery Design'!G$461</f>
        <v>347.60416695884248</v>
      </c>
      <c r="H44" s="758">
        <f ca="1">'Battery Design'!H$461</f>
        <v>347.60416695884248</v>
      </c>
      <c r="I44" s="758">
        <f ca="1">'Battery Design'!I$461</f>
        <v>347.60416695884248</v>
      </c>
      <c r="J44" s="758">
        <f ca="1">'Battery Design'!J$461</f>
        <v>347.60416695884248</v>
      </c>
      <c r="K44" s="758">
        <f ca="1">'Battery Design'!K$461</f>
        <v>347.60416695884248</v>
      </c>
      <c r="L44" s="758">
        <f ca="1">'Battery Design'!L$461</f>
        <v>347.60416695884248</v>
      </c>
      <c r="M44" s="759">
        <f ca="1">'Battery Design'!M$461</f>
        <v>347.60416695884248</v>
      </c>
    </row>
    <row r="45" spans="1:13" x14ac:dyDescent="0.15">
      <c r="B45" s="778" t="s">
        <v>1967</v>
      </c>
      <c r="C45" s="779"/>
      <c r="D45" s="779"/>
      <c r="E45" s="779" t="s">
        <v>1968</v>
      </c>
      <c r="F45" s="168"/>
      <c r="G45" s="780">
        <f ca="1">'Battery Design'!G$468</f>
        <v>1.2</v>
      </c>
      <c r="H45" s="780">
        <f ca="1">'Battery Design'!H$468</f>
        <v>1.2</v>
      </c>
      <c r="I45" s="780">
        <f ca="1">'Battery Design'!I$468</f>
        <v>1.2</v>
      </c>
      <c r="J45" s="780">
        <f ca="1">'Battery Design'!J$468</f>
        <v>1.2</v>
      </c>
      <c r="K45" s="780">
        <f ca="1">'Battery Design'!K$468</f>
        <v>1.2</v>
      </c>
      <c r="L45" s="780">
        <f ca="1">'Battery Design'!L$468</f>
        <v>1.2</v>
      </c>
      <c r="M45" s="781">
        <f ca="1">'Battery Design'!M$468</f>
        <v>1.2</v>
      </c>
    </row>
    <row r="46" spans="1:13" x14ac:dyDescent="0.15">
      <c r="B46" s="167" t="s">
        <v>1969</v>
      </c>
      <c r="C46" s="757"/>
      <c r="D46" s="757"/>
      <c r="E46" s="757"/>
      <c r="F46" s="168"/>
      <c r="G46" s="758">
        <f t="shared" ref="G46:M46" ca="1" si="3">G44+G45</f>
        <v>348.80416695884247</v>
      </c>
      <c r="H46" s="758">
        <f t="shared" ca="1" si="3"/>
        <v>348.80416695884247</v>
      </c>
      <c r="I46" s="758">
        <f t="shared" ca="1" si="3"/>
        <v>348.80416695884247</v>
      </c>
      <c r="J46" s="758">
        <f t="shared" ca="1" si="3"/>
        <v>348.80416695884247</v>
      </c>
      <c r="K46" s="758">
        <f t="shared" ca="1" si="3"/>
        <v>348.80416695884247</v>
      </c>
      <c r="L46" s="758">
        <f t="shared" ca="1" si="3"/>
        <v>348.80416695884247</v>
      </c>
      <c r="M46" s="759">
        <f t="shared" ca="1" si="3"/>
        <v>348.80416695884247</v>
      </c>
    </row>
    <row r="47" spans="1:13" x14ac:dyDescent="0.15">
      <c r="B47" s="167" t="s">
        <v>1970</v>
      </c>
      <c r="C47" s="757"/>
      <c r="D47" s="757"/>
      <c r="E47" s="757"/>
      <c r="F47" s="168"/>
      <c r="G47" s="760">
        <f ca="1">G35/G44</f>
        <v>0.55535785304126273</v>
      </c>
      <c r="H47" s="760">
        <f t="shared" ref="H47:M47" ca="1" si="4">H35/H44</f>
        <v>0.55535785304126273</v>
      </c>
      <c r="I47" s="760">
        <f t="shared" ca="1" si="4"/>
        <v>0.55535785304126273</v>
      </c>
      <c r="J47" s="760">
        <f t="shared" ca="1" si="4"/>
        <v>0.55535785304126273</v>
      </c>
      <c r="K47" s="760">
        <f t="shared" ca="1" si="4"/>
        <v>0.55535785304126273</v>
      </c>
      <c r="L47" s="760">
        <f t="shared" ca="1" si="4"/>
        <v>0.55535785304126273</v>
      </c>
      <c r="M47" s="761">
        <f t="shared" ca="1" si="4"/>
        <v>0.55535785304126273</v>
      </c>
    </row>
    <row r="48" spans="1:13" x14ac:dyDescent="0.15">
      <c r="B48" s="8"/>
      <c r="C48" s="8"/>
      <c r="D48" s="8"/>
      <c r="E48" s="8"/>
      <c r="F48" s="133"/>
      <c r="G48" s="133"/>
      <c r="H48" s="133"/>
      <c r="I48" s="133"/>
      <c r="J48" s="133"/>
      <c r="K48" s="133"/>
      <c r="L48" s="133"/>
    </row>
    <row r="49" spans="1:14" x14ac:dyDescent="0.15">
      <c r="B49" s="68" t="str">
        <f>IF(SUM(_manufact_method,Lists!C162:D162)&gt;1,"WARNING: Wrong pack manufacturing and cost options selected for USABC cost calculations","")</f>
        <v>WARNING: Wrong pack manufacturing and cost options selected for USABC cost calculations</v>
      </c>
      <c r="C49" s="8"/>
      <c r="D49" s="8"/>
      <c r="E49" s="8"/>
      <c r="F49" s="133"/>
      <c r="G49" s="133"/>
      <c r="H49" s="133"/>
      <c r="I49" s="133"/>
      <c r="J49" s="133"/>
      <c r="K49" s="133"/>
      <c r="L49" s="133"/>
      <c r="N49" s="562"/>
    </row>
    <row r="50" spans="1:14" x14ac:dyDescent="0.15">
      <c r="A50" s="1214"/>
      <c r="B50" s="68" t="str">
        <f>IF(SUM(_manufact_method,Lists!C162:D162)&gt;1,"For consistency with USABC, set 'Method for manufacturing pack' to 'Method 1: Packs are produced at the SAME rate (GWh/year) as cells (default)' and 'Option for pack cost' to 'Cost to build - excludes pack profit/warranty' on Dashboard","")</f>
        <v>For consistency with USABC, set 'Method for manufacturing pack' to 'Method 1: Packs are produced at the SAME rate (GWh/year) as cells (default)' and 'Option for pack cost' to 'Cost to build - excludes pack profit/warranty' on Dashboard</v>
      </c>
      <c r="C50" s="8"/>
      <c r="D50" s="8"/>
      <c r="E50" s="8"/>
      <c r="F50" s="133"/>
      <c r="G50" s="133"/>
      <c r="H50" s="133"/>
      <c r="I50" s="133"/>
      <c r="J50" s="133"/>
      <c r="K50" s="133"/>
      <c r="L50" s="133"/>
    </row>
    <row r="51" spans="1:14" ht="16" x14ac:dyDescent="0.2">
      <c r="B51" s="789" t="s">
        <v>1949</v>
      </c>
      <c r="C51" s="790"/>
      <c r="D51" s="790"/>
      <c r="E51" s="790" t="s">
        <v>1950</v>
      </c>
      <c r="F51" s="790"/>
      <c r="G51" s="791" t="s">
        <v>1972</v>
      </c>
      <c r="H51" s="791" t="s">
        <v>1972</v>
      </c>
      <c r="I51" s="791" t="s">
        <v>1972</v>
      </c>
      <c r="J51" s="791" t="s">
        <v>1972</v>
      </c>
      <c r="K51" s="791" t="s">
        <v>1972</v>
      </c>
      <c r="L51" s="791" t="s">
        <v>1972</v>
      </c>
      <c r="M51" s="792" t="s">
        <v>1972</v>
      </c>
    </row>
    <row r="52" spans="1:14" x14ac:dyDescent="0.15">
      <c r="B52" s="786" t="s">
        <v>1951</v>
      </c>
      <c r="C52" s="787"/>
      <c r="D52" s="787"/>
      <c r="E52" s="787"/>
      <c r="F52" s="166"/>
      <c r="G52" s="788">
        <f ca="1">'Manufacturing Costs'!G538</f>
        <v>9323.83181809915</v>
      </c>
      <c r="H52" s="788">
        <f ca="1">'Manufacturing Costs'!H538</f>
        <v>9323.83181809915</v>
      </c>
      <c r="I52" s="788">
        <f ca="1">'Manufacturing Costs'!I538</f>
        <v>9323.83181809915</v>
      </c>
      <c r="J52" s="788">
        <f ca="1">'Manufacturing Costs'!J538</f>
        <v>9323.83181809915</v>
      </c>
      <c r="K52" s="788">
        <f ca="1">'Manufacturing Costs'!K538</f>
        <v>9323.83181809915</v>
      </c>
      <c r="L52" s="788">
        <f ca="1">'Manufacturing Costs'!L538</f>
        <v>9323.83181809915</v>
      </c>
      <c r="M52" s="764">
        <f ca="1">'Manufacturing Costs'!M538</f>
        <v>9323.83181809915</v>
      </c>
    </row>
    <row r="53" spans="1:14" x14ac:dyDescent="0.15">
      <c r="B53" s="165" t="s">
        <v>1952</v>
      </c>
      <c r="C53" s="762"/>
      <c r="D53" s="762"/>
      <c r="E53" s="762"/>
      <c r="F53" s="166"/>
      <c r="G53" s="763"/>
      <c r="H53" s="763"/>
      <c r="I53" s="763"/>
      <c r="J53" s="763"/>
      <c r="K53" s="763"/>
      <c r="L53" s="763"/>
      <c r="M53" s="764"/>
    </row>
    <row r="54" spans="1:14" x14ac:dyDescent="0.15">
      <c r="B54" s="165" t="s">
        <v>1953</v>
      </c>
      <c r="C54" s="762"/>
      <c r="D54" s="762"/>
      <c r="E54" s="762" t="s">
        <v>1954</v>
      </c>
      <c r="F54" s="166"/>
      <c r="G54" s="763">
        <f ca="1">'Manufacturing Costs'!G578*G11*G12-G55</f>
        <v>588.66555492731061</v>
      </c>
      <c r="H54" s="763">
        <f ca="1">'Manufacturing Costs'!H578*H11*H12-H55</f>
        <v>588.66555492731061</v>
      </c>
      <c r="I54" s="763">
        <f ca="1">'Manufacturing Costs'!I578*I11*I12-I55</f>
        <v>588.66555492731061</v>
      </c>
      <c r="J54" s="763">
        <f ca="1">'Manufacturing Costs'!J578*J11*J12-J55</f>
        <v>588.66555492731061</v>
      </c>
      <c r="K54" s="763">
        <f ca="1">'Manufacturing Costs'!K578*K11*K12-K55</f>
        <v>588.66555492731061</v>
      </c>
      <c r="L54" s="763">
        <f ca="1">'Manufacturing Costs'!L578*L11*L12-L55</f>
        <v>588.66555492731061</v>
      </c>
      <c r="M54" s="764">
        <f ca="1">'Manufacturing Costs'!M578*M11*M12-M55</f>
        <v>588.66555492731061</v>
      </c>
      <c r="N54" s="8"/>
    </row>
    <row r="55" spans="1:14" x14ac:dyDescent="0.15">
      <c r="B55" s="165" t="s">
        <v>1955</v>
      </c>
      <c r="C55" s="762"/>
      <c r="D55" s="762"/>
      <c r="E55" s="762" t="s">
        <v>1956</v>
      </c>
      <c r="F55" s="166"/>
      <c r="G55" s="763">
        <f ca="1">('Manufacturing Costs'!G162-'Manufacturing Costs'!G156)*G11</f>
        <v>288.70407365945624</v>
      </c>
      <c r="H55" s="763">
        <f ca="1">('Manufacturing Costs'!H162-'Manufacturing Costs'!H156)*H11</f>
        <v>288.70407365945624</v>
      </c>
      <c r="I55" s="763">
        <f ca="1">('Manufacturing Costs'!I162-'Manufacturing Costs'!I156)*I11</f>
        <v>288.70407365945624</v>
      </c>
      <c r="J55" s="763">
        <f ca="1">('Manufacturing Costs'!J162-'Manufacturing Costs'!J156)*J11</f>
        <v>288.70407365945624</v>
      </c>
      <c r="K55" s="763">
        <f ca="1">('Manufacturing Costs'!K162-'Manufacturing Costs'!K156)*K11</f>
        <v>288.70407365945624</v>
      </c>
      <c r="L55" s="763">
        <f ca="1">('Manufacturing Costs'!L162-'Manufacturing Costs'!L156)*L11</f>
        <v>288.70407365945624</v>
      </c>
      <c r="M55" s="764">
        <f ca="1">('Manufacturing Costs'!M162-'Manufacturing Costs'!M156)*M11</f>
        <v>288.70407365945624</v>
      </c>
    </row>
    <row r="56" spans="1:14" x14ac:dyDescent="0.15">
      <c r="A56" s="8"/>
      <c r="B56" s="165" t="s">
        <v>1957</v>
      </c>
      <c r="C56" s="762"/>
      <c r="D56" s="762"/>
      <c r="E56" s="762"/>
      <c r="F56" s="166"/>
      <c r="G56" s="763"/>
      <c r="H56" s="763"/>
      <c r="I56" s="763"/>
      <c r="J56" s="763"/>
      <c r="K56" s="763"/>
      <c r="L56" s="763"/>
      <c r="M56" s="764"/>
    </row>
    <row r="57" spans="1:14" x14ac:dyDescent="0.15">
      <c r="B57" s="165" t="s">
        <v>1958</v>
      </c>
      <c r="C57" s="762"/>
      <c r="D57" s="762"/>
      <c r="E57" s="762" t="s">
        <v>1959</v>
      </c>
      <c r="F57" s="166"/>
      <c r="G57" s="763">
        <f ca="1">G61-G52-G54-G55-G58-G59-G60</f>
        <v>1662.5749838348195</v>
      </c>
      <c r="H57" s="763">
        <f t="shared" ref="H57:M57" ca="1" si="5">H61-H52-H54-H55-H58-H59-H60</f>
        <v>1662.5749838348195</v>
      </c>
      <c r="I57" s="763">
        <f t="shared" ca="1" si="5"/>
        <v>1662.5749838348195</v>
      </c>
      <c r="J57" s="763">
        <f t="shared" ca="1" si="5"/>
        <v>1662.5749838348195</v>
      </c>
      <c r="K57" s="763">
        <f t="shared" ca="1" si="5"/>
        <v>1662.5749838348195</v>
      </c>
      <c r="L57" s="763">
        <f t="shared" ca="1" si="5"/>
        <v>1662.5749838348195</v>
      </c>
      <c r="M57" s="764">
        <f t="shared" ca="1" si="5"/>
        <v>1662.5749838348195</v>
      </c>
      <c r="N57" s="562"/>
    </row>
    <row r="58" spans="1:14" x14ac:dyDescent="0.15">
      <c r="B58" s="165" t="s">
        <v>1960</v>
      </c>
      <c r="C58" s="762"/>
      <c r="D58" s="762"/>
      <c r="E58" s="762" t="s">
        <v>1961</v>
      </c>
      <c r="F58" s="166"/>
      <c r="G58" s="763">
        <f ca="1">'Manufacturing Costs'!G176+'Manufacturing Costs'!G177</f>
        <v>100</v>
      </c>
      <c r="H58" s="763">
        <f ca="1">'Manufacturing Costs'!H176+'Manufacturing Costs'!H177</f>
        <v>100</v>
      </c>
      <c r="I58" s="763">
        <f ca="1">'Manufacturing Costs'!I176+'Manufacturing Costs'!I177</f>
        <v>100</v>
      </c>
      <c r="J58" s="763">
        <f ca="1">'Manufacturing Costs'!J176+'Manufacturing Costs'!J177</f>
        <v>100</v>
      </c>
      <c r="K58" s="763">
        <f ca="1">'Manufacturing Costs'!K176+'Manufacturing Costs'!K177</f>
        <v>100</v>
      </c>
      <c r="L58" s="763">
        <f ca="1">'Manufacturing Costs'!L176+'Manufacturing Costs'!L177</f>
        <v>100</v>
      </c>
      <c r="M58" s="764">
        <f ca="1">'Manufacturing Costs'!M176+'Manufacturing Costs'!M177</f>
        <v>100</v>
      </c>
    </row>
    <row r="59" spans="1:14" x14ac:dyDescent="0.15">
      <c r="A59" s="8"/>
      <c r="B59" s="165" t="s">
        <v>1962</v>
      </c>
      <c r="C59" s="762"/>
      <c r="D59" s="762"/>
      <c r="E59" s="762" t="s">
        <v>1963</v>
      </c>
      <c r="F59" s="166"/>
      <c r="G59" s="765">
        <f ca="1">'Manufacturing Costs'!G168</f>
        <v>9.7804168480150686</v>
      </c>
      <c r="H59" s="765">
        <f ca="1">'Manufacturing Costs'!H168</f>
        <v>9.7804168480150686</v>
      </c>
      <c r="I59" s="765">
        <f ca="1">'Manufacturing Costs'!I168</f>
        <v>9.7804168480150686</v>
      </c>
      <c r="J59" s="765">
        <f ca="1">'Manufacturing Costs'!J168</f>
        <v>9.7804168480150686</v>
      </c>
      <c r="K59" s="765">
        <f ca="1">'Manufacturing Costs'!K168</f>
        <v>9.7804168480150686</v>
      </c>
      <c r="L59" s="765">
        <f ca="1">'Manufacturing Costs'!L168</f>
        <v>9.7804168480150686</v>
      </c>
      <c r="M59" s="983">
        <f ca="1">'Manufacturing Costs'!M168</f>
        <v>9.7804168480150686</v>
      </c>
      <c r="N59" s="36"/>
    </row>
    <row r="60" spans="1:14" x14ac:dyDescent="0.15">
      <c r="B60" s="165" t="s">
        <v>1964</v>
      </c>
      <c r="C60" s="762"/>
      <c r="D60" s="762"/>
      <c r="E60" s="762" t="s">
        <v>1965</v>
      </c>
      <c r="F60" s="166"/>
      <c r="G60" s="763">
        <f ca="1">'Manufacturing Costs'!G179</f>
        <v>354.3728995446063</v>
      </c>
      <c r="H60" s="763">
        <f ca="1">'Manufacturing Costs'!H179</f>
        <v>354.3728995446063</v>
      </c>
      <c r="I60" s="763">
        <f ca="1">'Manufacturing Costs'!I179</f>
        <v>354.3728995446063</v>
      </c>
      <c r="J60" s="763">
        <f ca="1">'Manufacturing Costs'!J179</f>
        <v>354.3728995446063</v>
      </c>
      <c r="K60" s="763">
        <f ca="1">'Manufacturing Costs'!K179</f>
        <v>354.3728995446063</v>
      </c>
      <c r="L60" s="763">
        <f ca="1">'Manufacturing Costs'!L179</f>
        <v>354.3728995446063</v>
      </c>
      <c r="M60" s="764">
        <f ca="1">'Manufacturing Costs'!M179</f>
        <v>354.3728995446063</v>
      </c>
    </row>
    <row r="61" spans="1:14" x14ac:dyDescent="0.15">
      <c r="B61" s="165" t="s">
        <v>1966</v>
      </c>
      <c r="C61" s="762"/>
      <c r="D61" s="762"/>
      <c r="E61" s="762"/>
      <c r="F61" s="166"/>
      <c r="G61" s="763">
        <f ca="1">'Manufacturing Costs'!G643</f>
        <v>12327.929746909376</v>
      </c>
      <c r="H61" s="763">
        <f ca="1">'Manufacturing Costs'!H643</f>
        <v>12327.929746909376</v>
      </c>
      <c r="I61" s="763">
        <f ca="1">'Manufacturing Costs'!I643</f>
        <v>12327.929746909376</v>
      </c>
      <c r="J61" s="763">
        <f ca="1">'Manufacturing Costs'!J643</f>
        <v>12327.929746909376</v>
      </c>
      <c r="K61" s="763">
        <f ca="1">'Manufacturing Costs'!K643</f>
        <v>12327.929746909376</v>
      </c>
      <c r="L61" s="763">
        <f ca="1">'Manufacturing Costs'!L643</f>
        <v>12327.929746909376</v>
      </c>
      <c r="M61" s="764">
        <f ca="1">'Manufacturing Costs'!M643</f>
        <v>12327.929746909376</v>
      </c>
    </row>
    <row r="62" spans="1:14" x14ac:dyDescent="0.15">
      <c r="B62" s="165" t="s">
        <v>1967</v>
      </c>
      <c r="C62" s="762"/>
      <c r="D62" s="762"/>
      <c r="E62" s="762" t="s">
        <v>1968</v>
      </c>
      <c r="F62" s="166"/>
      <c r="G62" s="763">
        <f ca="1">'Manufacturing Costs'!G184</f>
        <v>40</v>
      </c>
      <c r="H62" s="763">
        <f ca="1">'Manufacturing Costs'!H184</f>
        <v>40</v>
      </c>
      <c r="I62" s="763">
        <f ca="1">'Manufacturing Costs'!I184</f>
        <v>40</v>
      </c>
      <c r="J62" s="763">
        <f ca="1">'Manufacturing Costs'!J184</f>
        <v>40</v>
      </c>
      <c r="K62" s="763">
        <f ca="1">'Manufacturing Costs'!K184</f>
        <v>40</v>
      </c>
      <c r="L62" s="763">
        <f ca="1">'Manufacturing Costs'!L184</f>
        <v>40</v>
      </c>
      <c r="M62" s="764">
        <f ca="1">'Manufacturing Costs'!M184</f>
        <v>40</v>
      </c>
    </row>
    <row r="63" spans="1:14" x14ac:dyDescent="0.15">
      <c r="B63" s="165" t="s">
        <v>1969</v>
      </c>
      <c r="C63" s="762"/>
      <c r="D63" s="762"/>
      <c r="E63" s="762"/>
      <c r="F63" s="166"/>
      <c r="G63" s="763">
        <f ca="1">SUM(G61:G62)</f>
        <v>12367.929746909376</v>
      </c>
      <c r="H63" s="763">
        <f t="shared" ref="H63:M63" ca="1" si="6">SUM(H61:H62)</f>
        <v>12367.929746909376</v>
      </c>
      <c r="I63" s="763">
        <f t="shared" ca="1" si="6"/>
        <v>12367.929746909376</v>
      </c>
      <c r="J63" s="763">
        <f t="shared" ca="1" si="6"/>
        <v>12367.929746909376</v>
      </c>
      <c r="K63" s="763">
        <f t="shared" ca="1" si="6"/>
        <v>12367.929746909376</v>
      </c>
      <c r="L63" s="763">
        <f t="shared" ca="1" si="6"/>
        <v>12367.929746909376</v>
      </c>
      <c r="M63" s="764">
        <f t="shared" ca="1" si="6"/>
        <v>12367.929746909376</v>
      </c>
    </row>
    <row r="64" spans="1:14" x14ac:dyDescent="0.15">
      <c r="B64" s="165" t="s">
        <v>1970</v>
      </c>
      <c r="C64" s="762"/>
      <c r="D64" s="762"/>
      <c r="E64" s="762"/>
      <c r="F64" s="166"/>
      <c r="G64" s="766">
        <f t="shared" ref="G64:M64" ca="1" si="7">G52/G61</f>
        <v>0.75631772807892939</v>
      </c>
      <c r="H64" s="766">
        <f ca="1">H52/H61</f>
        <v>0.75631772807892939</v>
      </c>
      <c r="I64" s="766">
        <f t="shared" ca="1" si="7"/>
        <v>0.75631772807892939</v>
      </c>
      <c r="J64" s="766">
        <f t="shared" ca="1" si="7"/>
        <v>0.75631772807892939</v>
      </c>
      <c r="K64" s="766">
        <f t="shared" ca="1" si="7"/>
        <v>0.75631772807892939</v>
      </c>
      <c r="L64" s="766">
        <f t="shared" ca="1" si="7"/>
        <v>0.75631772807892939</v>
      </c>
      <c r="M64" s="767">
        <f t="shared" ca="1" si="7"/>
        <v>0.75631772807892939</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workbookViewId="0">
      <pane ySplit="6" topLeftCell="A7" activePane="bottomLeft" state="frozen"/>
      <selection pane="bottomLeft" activeCell="B8" sqref="B8"/>
    </sheetView>
  </sheetViews>
  <sheetFormatPr baseColWidth="10" defaultColWidth="8.83203125" defaultRowHeight="13" x14ac:dyDescent="0.15"/>
  <cols>
    <col min="2" max="2" width="39.5" customWidth="1"/>
    <col min="3" max="3" width="21" customWidth="1"/>
    <col min="4" max="4" width="16.5" customWidth="1"/>
    <col min="5" max="5" width="17.5" customWidth="1"/>
    <col min="6" max="6" width="13.5" customWidth="1"/>
    <col min="7" max="7" width="16.5" customWidth="1"/>
    <col min="8" max="8" width="16.5" bestFit="1" customWidth="1"/>
    <col min="9" max="9" width="11.5" customWidth="1"/>
    <col min="10" max="10" width="12.5" bestFit="1" customWidth="1"/>
    <col min="11" max="11" width="5.5" customWidth="1"/>
    <col min="12" max="12" width="10.5" customWidth="1"/>
    <col min="13" max="13" width="9.5" customWidth="1"/>
    <col min="14" max="15" width="17.5" bestFit="1" customWidth="1"/>
    <col min="16" max="18" width="12.5" customWidth="1"/>
    <col min="19" max="19" width="9.5" customWidth="1"/>
    <col min="20" max="20" width="11.5" bestFit="1" customWidth="1"/>
    <col min="21" max="21" width="60.5" customWidth="1"/>
    <col min="22" max="22" width="35.5" customWidth="1"/>
    <col min="23" max="24" width="10.5" bestFit="1" customWidth="1"/>
    <col min="25" max="25" width="27.5" customWidth="1"/>
    <col min="26" max="26" width="10.5" customWidth="1"/>
    <col min="27" max="27" width="11.5" customWidth="1"/>
    <col min="28" max="28" width="10.5" customWidth="1"/>
    <col min="29" max="29" width="8.5" customWidth="1"/>
    <col min="31" max="39" width="11.5" bestFit="1" customWidth="1"/>
    <col min="42" max="42" width="59.5" customWidth="1"/>
    <col min="43" max="43" width="25.5" customWidth="1"/>
    <col min="46" max="46" width="18.5" customWidth="1"/>
    <col min="47" max="47" width="17" customWidth="1"/>
    <col min="48" max="48" width="16.5" customWidth="1"/>
  </cols>
  <sheetData>
    <row r="1" spans="2:15" ht="19" thickBot="1" x14ac:dyDescent="0.25">
      <c r="B1" s="1346" t="s">
        <v>1973</v>
      </c>
      <c r="C1" s="1346"/>
      <c r="D1" s="1346"/>
      <c r="E1" s="1346"/>
      <c r="F1" s="1346"/>
      <c r="G1" s="1346"/>
      <c r="H1" s="1346"/>
      <c r="I1" s="1346"/>
      <c r="J1" s="1346"/>
      <c r="K1" s="1346"/>
      <c r="L1" s="1346"/>
      <c r="M1" s="1357"/>
      <c r="N1" s="1260" t="s">
        <v>9</v>
      </c>
      <c r="O1" s="1261"/>
    </row>
    <row r="2" spans="2:15" ht="17" thickBot="1" x14ac:dyDescent="0.25">
      <c r="B2" s="1270" t="str">
        <f>Dashboard!$D$34&amp;" with "&amp;Dashboard!$D$13&amp;" Electrodes"</f>
        <v>EV with NMC532-G (Power) Electrodes</v>
      </c>
      <c r="C2" s="1271"/>
      <c r="D2" s="1271"/>
      <c r="E2" s="1271"/>
      <c r="F2" s="1271"/>
      <c r="G2" s="1271"/>
      <c r="H2" s="1271"/>
      <c r="I2" s="1271"/>
      <c r="J2" s="1271"/>
      <c r="K2" s="1271"/>
      <c r="L2" s="1271"/>
      <c r="M2" s="1272"/>
      <c r="N2" s="987" t="s">
        <v>8</v>
      </c>
      <c r="O2" s="988" t="s">
        <v>10</v>
      </c>
    </row>
    <row r="3" spans="2:15" ht="16" x14ac:dyDescent="0.2">
      <c r="B3" s="1291" t="s">
        <v>132</v>
      </c>
      <c r="C3" s="1291"/>
      <c r="D3" s="1291"/>
      <c r="E3" s="1291"/>
      <c r="F3" s="1291"/>
      <c r="G3" s="1291"/>
      <c r="H3" s="1291"/>
      <c r="I3" s="1291"/>
      <c r="J3" s="1291"/>
      <c r="K3" s="1291"/>
      <c r="L3" s="1291"/>
      <c r="M3" s="1292"/>
      <c r="N3" s="989" t="s">
        <v>15</v>
      </c>
      <c r="O3" s="988" t="s">
        <v>16</v>
      </c>
    </row>
    <row r="4" spans="2:15" x14ac:dyDescent="0.15">
      <c r="B4" s="1293" t="s">
        <v>298</v>
      </c>
      <c r="C4" s="1293"/>
      <c r="D4" s="1293"/>
      <c r="E4" s="1293"/>
      <c r="F4" s="181"/>
      <c r="G4" s="1294" t="s">
        <v>12</v>
      </c>
      <c r="H4" s="1294"/>
      <c r="I4" s="1294"/>
      <c r="J4" s="1294"/>
      <c r="K4" s="1294"/>
      <c r="L4" s="1294"/>
      <c r="M4" s="1295"/>
      <c r="N4" s="986" t="s">
        <v>17</v>
      </c>
      <c r="O4" s="988" t="s">
        <v>18</v>
      </c>
    </row>
    <row r="5" spans="2:15" ht="14" thickBot="1" x14ac:dyDescent="0.2">
      <c r="B5" s="1296" t="s">
        <v>13</v>
      </c>
      <c r="C5" s="1296"/>
      <c r="D5" s="1296"/>
      <c r="E5" s="1296"/>
      <c r="F5" s="185"/>
      <c r="G5" s="1297" t="s">
        <v>14</v>
      </c>
      <c r="H5" s="1297"/>
      <c r="I5" s="1297"/>
      <c r="J5" s="1297"/>
      <c r="K5" s="1297"/>
      <c r="L5" s="1297"/>
      <c r="M5" s="1298"/>
      <c r="N5" s="986" t="s">
        <v>20</v>
      </c>
      <c r="O5" s="992" t="s">
        <v>21</v>
      </c>
    </row>
    <row r="6" spans="2:15" ht="14" thickBot="1" x14ac:dyDescent="0.2">
      <c r="N6" s="990" t="s">
        <v>25</v>
      </c>
      <c r="O6" s="991" t="s">
        <v>26</v>
      </c>
    </row>
    <row r="7" spans="2:15" ht="21" thickBot="1" x14ac:dyDescent="0.25">
      <c r="B7" s="1262" t="s">
        <v>1974</v>
      </c>
      <c r="C7" s="1263"/>
      <c r="D7" s="1263"/>
      <c r="E7" s="1263"/>
      <c r="F7" s="1263"/>
      <c r="G7" s="1263"/>
      <c r="H7" s="1263"/>
      <c r="I7" s="1263"/>
      <c r="J7" s="1263"/>
      <c r="K7" s="1263"/>
      <c r="L7" s="1263"/>
      <c r="M7" s="1264"/>
    </row>
    <row r="8" spans="2:15" ht="15" x14ac:dyDescent="0.2">
      <c r="B8" s="477"/>
      <c r="D8" s="697"/>
    </row>
    <row r="9" spans="2:15" x14ac:dyDescent="0.15">
      <c r="B9" s="68" t="s">
        <v>1975</v>
      </c>
      <c r="C9" s="1358" t="s">
        <v>1976</v>
      </c>
      <c r="D9" s="1358"/>
    </row>
    <row r="11" spans="2:15" x14ac:dyDescent="0.15">
      <c r="B11" s="8"/>
      <c r="C11" s="716" t="s">
        <v>1977</v>
      </c>
      <c r="D11" s="716" t="s">
        <v>1978</v>
      </c>
    </row>
    <row r="12" spans="2:15" x14ac:dyDescent="0.15">
      <c r="B12" s="8" t="s">
        <v>1979</v>
      </c>
      <c r="C12" s="720" t="s">
        <v>738</v>
      </c>
      <c r="D12" s="720" t="s">
        <v>295</v>
      </c>
    </row>
    <row r="13" spans="2:15" ht="15" x14ac:dyDescent="0.2">
      <c r="B13" s="477"/>
    </row>
    <row r="14" spans="2:15" ht="14" x14ac:dyDescent="0.15">
      <c r="B14" s="67" t="s">
        <v>316</v>
      </c>
      <c r="D14" s="716"/>
      <c r="E14" s="716"/>
      <c r="F14" s="1214"/>
    </row>
    <row r="15" spans="2:15" x14ac:dyDescent="0.15">
      <c r="B15" s="8" t="s">
        <v>1980</v>
      </c>
      <c r="D15" s="700" t="str">
        <f>IF($C$9 = "Create New Couple", C12, Chem!$C$7)</f>
        <v>NMC622</v>
      </c>
    </row>
    <row r="16" spans="2:15" x14ac:dyDescent="0.15">
      <c r="B16" s="8" t="s">
        <v>1981</v>
      </c>
      <c r="D16" s="46">
        <f>MATCH(D15,Lists!$O$63:$AG$63, 0)</f>
        <v>3</v>
      </c>
    </row>
    <row r="17" spans="2:39" ht="13.5" customHeight="1" x14ac:dyDescent="0.15">
      <c r="B17" s="8" t="s">
        <v>1982</v>
      </c>
      <c r="D17" s="46" t="str" cm="1">
        <f t="array" ref="D17">IF(INDEX(Lists!$O$65:$AG$65, D16) = "positive", "good", "problem with couple")</f>
        <v>good</v>
      </c>
    </row>
    <row r="18" spans="2:39" ht="14" x14ac:dyDescent="0.15">
      <c r="B18" s="8" t="s">
        <v>1983</v>
      </c>
      <c r="D18" s="717">
        <v>0.05</v>
      </c>
      <c r="S18" s="478"/>
    </row>
    <row r="19" spans="2:39" ht="14" x14ac:dyDescent="0.15">
      <c r="S19" s="478"/>
    </row>
    <row r="20" spans="2:39" ht="14" x14ac:dyDescent="0.15">
      <c r="B20" s="67" t="s">
        <v>325</v>
      </c>
      <c r="S20" s="478"/>
    </row>
    <row r="21" spans="2:39" x14ac:dyDescent="0.15">
      <c r="B21" s="8" t="s">
        <v>1980</v>
      </c>
      <c r="D21" s="700" t="str">
        <f>IF($C$9 = "Create New Couple", D12,Chem!C36)</f>
        <v>G</v>
      </c>
      <c r="S21" s="479"/>
      <c r="AC21" s="52"/>
    </row>
    <row r="22" spans="2:39" x14ac:dyDescent="0.15">
      <c r="B22" s="8" t="s">
        <v>1981</v>
      </c>
      <c r="D22" s="46">
        <f>MATCH(D21,Lists!$O$63:$AG$63, 0)</f>
        <v>9</v>
      </c>
      <c r="S22" s="479"/>
      <c r="AC22" s="52"/>
    </row>
    <row r="23" spans="2:39" x14ac:dyDescent="0.15">
      <c r="B23" s="8" t="s">
        <v>1982</v>
      </c>
      <c r="D23" s="46" t="str" cm="1">
        <f t="array" ref="D23">IF(INDEX(Lists!$O$65:$AG$65, D22) = "negative", "good", "problem with couple")</f>
        <v>good</v>
      </c>
      <c r="S23" s="479"/>
      <c r="AC23" s="52"/>
    </row>
    <row r="24" spans="2:39" x14ac:dyDescent="0.15">
      <c r="B24" s="8" t="s">
        <v>1984</v>
      </c>
      <c r="D24" s="717">
        <v>0.01</v>
      </c>
      <c r="S24" s="479"/>
      <c r="Z24">
        <f>1</f>
        <v>1</v>
      </c>
      <c r="AC24" s="52"/>
    </row>
    <row r="25" spans="2:39" x14ac:dyDescent="0.15">
      <c r="B25" s="8" t="s">
        <v>1985</v>
      </c>
      <c r="D25" s="718">
        <v>20</v>
      </c>
      <c r="S25" s="479"/>
      <c r="AC25" s="52"/>
    </row>
    <row r="26" spans="2:39" ht="15" x14ac:dyDescent="0.15">
      <c r="B26" s="8" t="s">
        <v>1986</v>
      </c>
      <c r="D26" s="719">
        <v>0.01</v>
      </c>
      <c r="AC26" s="47"/>
    </row>
    <row r="27" spans="2:39" ht="14" x14ac:dyDescent="0.15">
      <c r="S27" s="478"/>
      <c r="AC27" s="33"/>
      <c r="AE27" s="47"/>
      <c r="AF27" s="47"/>
      <c r="AG27" s="47"/>
      <c r="AH27" s="47"/>
      <c r="AI27" s="47"/>
      <c r="AJ27" s="47"/>
      <c r="AM27" s="47"/>
    </row>
    <row r="28" spans="2:39" ht="14" x14ac:dyDescent="0.15">
      <c r="B28" s="67" t="s">
        <v>1987</v>
      </c>
      <c r="D28" s="8"/>
      <c r="E28" s="8"/>
      <c r="S28" s="480"/>
      <c r="AC28" s="33"/>
      <c r="AE28" s="47"/>
      <c r="AF28" s="47"/>
      <c r="AG28" s="47"/>
      <c r="AH28" s="47"/>
      <c r="AI28" s="47"/>
      <c r="AJ28" s="47"/>
      <c r="AK28" s="47"/>
      <c r="AL28" s="47"/>
      <c r="AM28" s="47"/>
    </row>
    <row r="29" spans="2:39" x14ac:dyDescent="0.15">
      <c r="B29" s="8" t="s">
        <v>1988</v>
      </c>
      <c r="D29" s="719">
        <v>1.1000000000000001</v>
      </c>
      <c r="E29" s="8"/>
      <c r="S29" s="480"/>
      <c r="AC29" s="33"/>
      <c r="AE29" s="47"/>
      <c r="AF29" s="47"/>
      <c r="AG29" s="47"/>
      <c r="AH29" s="47"/>
      <c r="AI29" s="47"/>
      <c r="AJ29" s="47"/>
      <c r="AK29" s="47"/>
      <c r="AL29" s="47"/>
      <c r="AM29" s="47"/>
    </row>
    <row r="30" spans="2:39" x14ac:dyDescent="0.15">
      <c r="B30" s="8" t="s">
        <v>1989</v>
      </c>
      <c r="D30" s="719">
        <v>4.25</v>
      </c>
      <c r="E30" s="8"/>
      <c r="S30" s="158"/>
      <c r="AC30" s="33"/>
      <c r="AE30" s="47"/>
      <c r="AF30" s="47"/>
      <c r="AG30" s="47"/>
      <c r="AH30" s="47"/>
      <c r="AI30" s="47"/>
      <c r="AJ30" s="47"/>
      <c r="AK30" s="47"/>
      <c r="AL30" s="47"/>
      <c r="AM30" s="47"/>
    </row>
    <row r="31" spans="2:39" ht="15.75" customHeight="1" x14ac:dyDescent="0.15">
      <c r="S31" s="481"/>
      <c r="AC31" s="33"/>
      <c r="AE31" s="47"/>
      <c r="AF31" s="47"/>
      <c r="AG31" s="47"/>
      <c r="AH31" s="47"/>
      <c r="AI31" s="47"/>
      <c r="AJ31" s="47"/>
      <c r="AK31" s="47"/>
      <c r="AL31" s="47"/>
      <c r="AM31" s="47"/>
    </row>
    <row r="32" spans="2:39" ht="17" thickBot="1" x14ac:dyDescent="0.25">
      <c r="D32" s="27"/>
      <c r="S32" s="155"/>
      <c r="AC32" s="33"/>
      <c r="AE32" s="47"/>
      <c r="AF32" s="47"/>
      <c r="AG32" s="47"/>
      <c r="AH32" s="47"/>
      <c r="AI32" s="47"/>
      <c r="AJ32" s="47"/>
      <c r="AK32" s="47"/>
      <c r="AL32" s="47"/>
      <c r="AM32" s="47"/>
    </row>
    <row r="33" spans="2:39" ht="21" thickBot="1" x14ac:dyDescent="0.25">
      <c r="B33" s="1262" t="s">
        <v>1990</v>
      </c>
      <c r="C33" s="1263"/>
      <c r="D33" s="1263"/>
      <c r="E33" s="1263"/>
      <c r="F33" s="1263"/>
      <c r="G33" s="1263"/>
      <c r="H33" s="1263"/>
      <c r="I33" s="1263"/>
      <c r="J33" s="1263"/>
      <c r="K33" s="1263"/>
      <c r="L33" s="1263"/>
      <c r="M33" s="1264"/>
      <c r="AC33" s="33"/>
      <c r="AE33" s="47"/>
      <c r="AF33" s="47"/>
      <c r="AG33" s="47"/>
      <c r="AH33" s="47"/>
      <c r="AI33" s="47"/>
      <c r="AJ33" s="47"/>
      <c r="AK33" s="47"/>
      <c r="AL33" s="47"/>
      <c r="AM33" s="47"/>
    </row>
    <row r="34" spans="2:39" x14ac:dyDescent="0.15">
      <c r="AC34" s="33"/>
      <c r="AE34" s="47"/>
      <c r="AF34" s="47"/>
      <c r="AG34" s="47"/>
      <c r="AH34" s="47"/>
      <c r="AI34" s="47"/>
      <c r="AJ34" s="47"/>
      <c r="AK34" s="47"/>
      <c r="AL34" s="47"/>
      <c r="AM34" s="47"/>
    </row>
    <row r="35" spans="2:39" ht="15" x14ac:dyDescent="0.2">
      <c r="B35" s="477"/>
      <c r="C35" s="477"/>
      <c r="AC35" s="33"/>
      <c r="AE35" s="47"/>
      <c r="AF35" s="47"/>
      <c r="AG35" s="47"/>
      <c r="AH35" s="47"/>
      <c r="AI35" s="47"/>
      <c r="AJ35" s="47"/>
      <c r="AK35" s="47"/>
      <c r="AL35" s="47"/>
      <c r="AM35" s="47"/>
    </row>
    <row r="36" spans="2:39" x14ac:dyDescent="0.15">
      <c r="AC36" s="33"/>
      <c r="AE36" s="47"/>
      <c r="AF36" s="47"/>
      <c r="AG36" s="47"/>
      <c r="AH36" s="47"/>
      <c r="AI36" s="47"/>
      <c r="AJ36" s="47"/>
      <c r="AK36" s="47"/>
      <c r="AL36" s="47"/>
      <c r="AM36" s="47"/>
    </row>
    <row r="37" spans="2:39" x14ac:dyDescent="0.15">
      <c r="AC37" s="33"/>
      <c r="AE37" s="47"/>
      <c r="AF37" s="47"/>
      <c r="AG37" s="47"/>
      <c r="AH37" s="47"/>
      <c r="AI37" s="47"/>
      <c r="AJ37" s="47"/>
      <c r="AK37" s="47"/>
      <c r="AL37" s="47"/>
      <c r="AM37" s="47"/>
    </row>
    <row r="38" spans="2:39" x14ac:dyDescent="0.15">
      <c r="AC38" s="33"/>
      <c r="AE38" s="47"/>
      <c r="AF38" s="47"/>
      <c r="AG38" s="47"/>
      <c r="AH38" s="47"/>
      <c r="AI38" s="47"/>
      <c r="AJ38" s="47"/>
      <c r="AK38" s="47"/>
      <c r="AL38" s="47"/>
      <c r="AM38" s="47"/>
    </row>
    <row r="39" spans="2:39" x14ac:dyDescent="0.15">
      <c r="AC39" s="33"/>
      <c r="AE39" s="47"/>
      <c r="AF39" s="47"/>
      <c r="AG39" s="47"/>
      <c r="AH39" s="47"/>
      <c r="AI39" s="47"/>
      <c r="AJ39" s="47"/>
      <c r="AK39" s="47"/>
      <c r="AL39" s="47"/>
      <c r="AM39" s="47"/>
    </row>
    <row r="40" spans="2:39" x14ac:dyDescent="0.15">
      <c r="AC40" s="33"/>
      <c r="AE40" s="47"/>
      <c r="AF40" s="47"/>
      <c r="AG40" s="47"/>
      <c r="AH40" s="47"/>
      <c r="AI40" s="47"/>
      <c r="AJ40" s="47"/>
      <c r="AK40" s="47"/>
      <c r="AL40" s="47"/>
      <c r="AM40" s="47"/>
    </row>
    <row r="41" spans="2:39" x14ac:dyDescent="0.15">
      <c r="AC41" s="33"/>
      <c r="AE41" s="47"/>
      <c r="AF41" s="47"/>
      <c r="AG41" s="47"/>
      <c r="AH41" s="47"/>
      <c r="AI41" s="47"/>
      <c r="AJ41" s="47"/>
      <c r="AK41" s="47"/>
      <c r="AL41" s="47"/>
      <c r="AM41" s="47"/>
    </row>
    <row r="42" spans="2:39" ht="18" customHeight="1" x14ac:dyDescent="0.2">
      <c r="N42" s="540"/>
      <c r="AC42" s="33"/>
      <c r="AE42" s="47"/>
      <c r="AF42" s="47"/>
      <c r="AG42" s="47"/>
      <c r="AH42" s="47"/>
      <c r="AI42" s="47"/>
      <c r="AJ42" s="47"/>
      <c r="AK42" s="47"/>
      <c r="AL42" s="47"/>
      <c r="AM42" s="47"/>
    </row>
    <row r="43" spans="2:39" ht="13.5" customHeight="1" x14ac:dyDescent="0.15">
      <c r="AC43" s="33"/>
      <c r="AE43" s="47"/>
      <c r="AF43" s="47"/>
      <c r="AG43" s="47"/>
      <c r="AH43" s="47"/>
      <c r="AI43" s="47"/>
      <c r="AJ43" s="47"/>
      <c r="AK43" s="47"/>
      <c r="AL43" s="47"/>
      <c r="AM43" s="47"/>
    </row>
    <row r="44" spans="2:39" ht="13.5" customHeight="1" x14ac:dyDescent="0.15">
      <c r="AC44" s="33"/>
      <c r="AE44" s="47"/>
      <c r="AF44" s="47"/>
      <c r="AG44" s="47"/>
      <c r="AH44" s="47"/>
      <c r="AI44" s="47"/>
      <c r="AJ44" s="47"/>
      <c r="AK44" s="47"/>
      <c r="AL44" s="47"/>
      <c r="AM44" s="47"/>
    </row>
    <row r="45" spans="2:39" ht="14" thickBot="1" x14ac:dyDescent="0.2">
      <c r="AC45" s="33"/>
      <c r="AE45" s="47"/>
      <c r="AF45" s="47"/>
      <c r="AG45" s="47"/>
      <c r="AH45" s="47"/>
      <c r="AI45" s="47"/>
      <c r="AJ45" s="47"/>
      <c r="AK45" s="47"/>
      <c r="AL45" s="47"/>
      <c r="AM45" s="47"/>
    </row>
    <row r="46" spans="2:39" ht="21" thickBot="1" x14ac:dyDescent="0.25">
      <c r="B46" s="1262" t="s">
        <v>1991</v>
      </c>
      <c r="C46" s="1263"/>
      <c r="D46" s="1263"/>
      <c r="E46" s="1263"/>
      <c r="F46" s="1263"/>
      <c r="G46" s="1263"/>
      <c r="H46" s="1263"/>
      <c r="I46" s="1263"/>
      <c r="J46" s="1263"/>
      <c r="K46" s="1263"/>
      <c r="L46" s="1263"/>
      <c r="M46" s="1264"/>
      <c r="AC46" s="33"/>
      <c r="AE46" s="47"/>
      <c r="AF46" s="47"/>
      <c r="AG46" s="47"/>
      <c r="AH46" s="47"/>
      <c r="AI46" s="47"/>
      <c r="AJ46" s="47"/>
      <c r="AK46" s="47"/>
      <c r="AL46" s="47"/>
      <c r="AM46" s="47"/>
    </row>
    <row r="47" spans="2:39" ht="13.5" customHeight="1" x14ac:dyDescent="0.15">
      <c r="AC47" s="33"/>
      <c r="AE47" s="47"/>
      <c r="AF47" s="47"/>
      <c r="AG47" s="47"/>
      <c r="AH47" s="47"/>
      <c r="AI47" s="47"/>
      <c r="AJ47" s="47"/>
      <c r="AK47" s="47"/>
      <c r="AL47" s="47"/>
      <c r="AM47" s="47"/>
    </row>
    <row r="48" spans="2:39" ht="13.5" customHeight="1" x14ac:dyDescent="0.15">
      <c r="AC48" s="33"/>
      <c r="AE48" s="47"/>
      <c r="AF48" s="47"/>
      <c r="AG48" s="47"/>
      <c r="AH48" s="47"/>
      <c r="AI48" s="47"/>
      <c r="AJ48" s="47"/>
      <c r="AK48" s="47"/>
      <c r="AL48" s="47"/>
      <c r="AM48" s="47"/>
    </row>
    <row r="49" spans="2:39" x14ac:dyDescent="0.15">
      <c r="B49" s="8" t="s">
        <v>1992</v>
      </c>
      <c r="C49" s="8"/>
      <c r="D49" s="8"/>
      <c r="E49" s="707">
        <f ca="1">E144</f>
        <v>185.86872109209955</v>
      </c>
      <c r="AC49" s="33"/>
      <c r="AE49" s="47"/>
      <c r="AF49" s="47"/>
      <c r="AG49" s="47"/>
      <c r="AH49" s="47"/>
      <c r="AI49" s="47"/>
      <c r="AJ49" s="47"/>
      <c r="AK49" s="47"/>
      <c r="AL49" s="47"/>
      <c r="AM49" s="47"/>
    </row>
    <row r="50" spans="2:39" x14ac:dyDescent="0.15">
      <c r="B50" s="8" t="s">
        <v>1993</v>
      </c>
      <c r="C50" s="8"/>
      <c r="D50" s="8"/>
      <c r="E50" s="707">
        <f ca="1">E143</f>
        <v>360.73504030384282</v>
      </c>
      <c r="AC50" s="33"/>
      <c r="AE50" s="47"/>
      <c r="AF50" s="47"/>
      <c r="AG50" s="47"/>
      <c r="AH50" s="47"/>
      <c r="AI50" s="47"/>
      <c r="AJ50" s="47"/>
      <c r="AK50" s="47"/>
      <c r="AL50" s="47"/>
      <c r="AM50" s="47"/>
    </row>
    <row r="51" spans="2:39" x14ac:dyDescent="0.15">
      <c r="B51" s="8" t="s">
        <v>1994</v>
      </c>
      <c r="C51" s="8"/>
      <c r="D51" s="8"/>
      <c r="E51" s="708">
        <f ca="1">E146</f>
        <v>1.1000000000000012</v>
      </c>
      <c r="AC51" s="33"/>
      <c r="AE51" s="47"/>
      <c r="AF51" s="47"/>
      <c r="AG51" s="47"/>
      <c r="AH51" s="47"/>
      <c r="AI51" s="47"/>
      <c r="AJ51" s="47"/>
      <c r="AK51" s="47"/>
      <c r="AL51" s="47"/>
      <c r="AM51" s="47"/>
    </row>
    <row r="52" spans="2:39" ht="13.5" customHeight="1" x14ac:dyDescent="0.15">
      <c r="AC52" s="33"/>
      <c r="AE52" s="47"/>
      <c r="AF52" s="47"/>
      <c r="AG52" s="47"/>
      <c r="AH52" s="47"/>
      <c r="AI52" s="47"/>
      <c r="AJ52" s="47"/>
      <c r="AK52" s="47"/>
      <c r="AL52" s="47"/>
      <c r="AM52" s="47"/>
    </row>
    <row r="53" spans="2:39" ht="13.5" customHeight="1" x14ac:dyDescent="0.15">
      <c r="AC53" s="33"/>
      <c r="AE53" s="47"/>
      <c r="AF53" s="47"/>
      <c r="AG53" s="47"/>
      <c r="AH53" s="47"/>
      <c r="AI53" s="47"/>
      <c r="AJ53" s="47"/>
      <c r="AK53" s="47"/>
      <c r="AL53" s="47"/>
      <c r="AM53" s="47"/>
    </row>
    <row r="54" spans="2:39" ht="15" customHeight="1" x14ac:dyDescent="0.15">
      <c r="B54" s="1338" t="s">
        <v>1995</v>
      </c>
      <c r="C54" s="1339"/>
      <c r="D54" s="1339"/>
      <c r="E54" s="1340"/>
      <c r="AC54" s="33"/>
      <c r="AE54" s="47"/>
      <c r="AF54" s="47"/>
      <c r="AG54" s="47"/>
      <c r="AH54" s="47"/>
      <c r="AI54" s="47"/>
      <c r="AJ54" s="47"/>
      <c r="AK54" s="47"/>
      <c r="AL54" s="47"/>
      <c r="AM54" s="47"/>
    </row>
    <row r="55" spans="2:39" x14ac:dyDescent="0.15">
      <c r="B55" s="192" t="s">
        <v>1996</v>
      </c>
      <c r="C55" s="192" t="s">
        <v>1997</v>
      </c>
      <c r="D55" s="192" t="s">
        <v>1998</v>
      </c>
      <c r="E55" s="192" t="s">
        <v>33</v>
      </c>
      <c r="AC55" s="33"/>
      <c r="AE55" s="47"/>
      <c r="AF55" s="47"/>
      <c r="AG55" s="47"/>
      <c r="AH55" s="47"/>
      <c r="AI55" s="47"/>
      <c r="AJ55" s="47"/>
      <c r="AK55" s="47"/>
      <c r="AL55" s="47"/>
      <c r="AM55" s="47"/>
    </row>
    <row r="56" spans="2:39" x14ac:dyDescent="0.15">
      <c r="B56" s="700">
        <v>0</v>
      </c>
      <c r="C56" s="704">
        <f ca="1">IF(E56= "", D56, E56)</f>
        <v>3.0885078977859246</v>
      </c>
      <c r="D56" s="705">
        <f t="shared" ref="D56:D66" ca="1" si="0">E208</f>
        <v>3.0885078977859246</v>
      </c>
      <c r="E56" s="706"/>
      <c r="AC56" s="33"/>
      <c r="AE56" s="47"/>
      <c r="AF56" s="47"/>
      <c r="AG56" s="47"/>
      <c r="AH56" s="47"/>
      <c r="AI56" s="47"/>
      <c r="AJ56" s="47"/>
      <c r="AK56" s="47"/>
      <c r="AL56" s="47"/>
      <c r="AM56" s="47"/>
    </row>
    <row r="57" spans="2:39" ht="14" x14ac:dyDescent="0.15">
      <c r="B57" s="700">
        <v>10</v>
      </c>
      <c r="C57" s="704">
        <f t="shared" ref="C57:C66" ca="1" si="1">IF(E57= "", D57, E57)</f>
        <v>3.5262987203432363</v>
      </c>
      <c r="D57" s="705">
        <f t="shared" ca="1" si="0"/>
        <v>3.5262987203432363</v>
      </c>
      <c r="E57" s="706"/>
      <c r="K57" s="478"/>
      <c r="L57" s="478"/>
      <c r="M57" s="478"/>
      <c r="N57" s="478"/>
      <c r="AC57" s="33"/>
      <c r="AE57" s="47"/>
      <c r="AF57" s="47"/>
      <c r="AG57" s="47"/>
      <c r="AH57" s="47"/>
      <c r="AI57" s="47"/>
      <c r="AJ57" s="47"/>
      <c r="AK57" s="47"/>
      <c r="AL57" s="47"/>
      <c r="AM57" s="47"/>
    </row>
    <row r="58" spans="2:39" ht="14" x14ac:dyDescent="0.15">
      <c r="B58" s="700">
        <v>20</v>
      </c>
      <c r="C58" s="704">
        <f t="shared" ca="1" si="1"/>
        <v>3.5899318380555121</v>
      </c>
      <c r="D58" s="705">
        <f t="shared" ca="1" si="0"/>
        <v>3.5899318380555121</v>
      </c>
      <c r="E58" s="706"/>
      <c r="K58" s="478"/>
      <c r="L58" s="478"/>
      <c r="M58" s="478"/>
      <c r="N58" s="478"/>
      <c r="AC58" s="33"/>
      <c r="AE58" s="47"/>
      <c r="AF58" s="47"/>
      <c r="AG58" s="47"/>
      <c r="AH58" s="47"/>
      <c r="AI58" s="47"/>
      <c r="AJ58" s="47"/>
      <c r="AK58" s="47"/>
      <c r="AL58" s="47"/>
      <c r="AM58" s="47"/>
    </row>
    <row r="59" spans="2:39" ht="14" x14ac:dyDescent="0.15">
      <c r="B59" s="700">
        <v>30</v>
      </c>
      <c r="C59" s="704">
        <f t="shared" ca="1" si="1"/>
        <v>3.6394255775301674</v>
      </c>
      <c r="D59" s="705">
        <f t="shared" ca="1" si="0"/>
        <v>3.6394255775301674</v>
      </c>
      <c r="E59" s="706"/>
      <c r="K59" s="478"/>
      <c r="L59" s="478"/>
      <c r="M59" s="478"/>
      <c r="N59" s="478"/>
      <c r="AC59" s="33"/>
      <c r="AE59" s="47"/>
      <c r="AF59" s="47"/>
      <c r="AG59" s="47"/>
      <c r="AH59" s="47"/>
      <c r="AI59" s="47"/>
      <c r="AJ59" s="47"/>
      <c r="AK59" s="47"/>
      <c r="AL59" s="47"/>
      <c r="AM59" s="47"/>
    </row>
    <row r="60" spans="2:39" x14ac:dyDescent="0.15">
      <c r="B60" s="700">
        <v>40</v>
      </c>
      <c r="C60" s="704">
        <f t="shared" ca="1" si="1"/>
        <v>3.6639131806503222</v>
      </c>
      <c r="D60" s="705">
        <f t="shared" ca="1" si="0"/>
        <v>3.6639131806503222</v>
      </c>
      <c r="E60" s="706"/>
      <c r="K60" s="479"/>
      <c r="L60" s="479"/>
      <c r="M60" s="479"/>
      <c r="N60" s="479"/>
      <c r="AC60" s="33"/>
      <c r="AE60" s="47"/>
      <c r="AF60" s="47"/>
      <c r="AG60" s="47"/>
      <c r="AH60" s="47"/>
      <c r="AI60" s="47"/>
      <c r="AJ60" s="47"/>
      <c r="AK60" s="47"/>
      <c r="AL60" s="47"/>
      <c r="AM60" s="47"/>
    </row>
    <row r="61" spans="2:39" x14ac:dyDescent="0.15">
      <c r="B61" s="700">
        <v>50</v>
      </c>
      <c r="C61" s="704">
        <f t="shared" ca="1" si="1"/>
        <v>3.7054015252771344</v>
      </c>
      <c r="D61" s="705">
        <f t="shared" ca="1" si="0"/>
        <v>3.7054015252771344</v>
      </c>
      <c r="E61" s="706"/>
      <c r="AC61" s="33"/>
      <c r="AE61" s="47"/>
      <c r="AF61" s="47"/>
      <c r="AG61" s="47"/>
      <c r="AH61" s="47"/>
      <c r="AI61" s="47"/>
      <c r="AJ61" s="47"/>
      <c r="AK61" s="47"/>
      <c r="AL61" s="47"/>
      <c r="AM61" s="47"/>
    </row>
    <row r="62" spans="2:39" ht="14" x14ac:dyDescent="0.15">
      <c r="B62" s="700">
        <v>60</v>
      </c>
      <c r="C62" s="704">
        <f t="shared" ca="1" si="1"/>
        <v>3.7720620640260716</v>
      </c>
      <c r="D62" s="705">
        <f t="shared" ca="1" si="0"/>
        <v>3.7720620640260716</v>
      </c>
      <c r="E62" s="706"/>
      <c r="K62" s="478"/>
      <c r="L62" s="478"/>
      <c r="M62" s="478"/>
      <c r="N62" s="478"/>
      <c r="AC62" s="33"/>
      <c r="AE62" s="47"/>
      <c r="AF62" s="47"/>
      <c r="AG62" s="47"/>
      <c r="AH62" s="47"/>
      <c r="AI62" s="47"/>
      <c r="AJ62" s="47"/>
      <c r="AK62" s="47"/>
      <c r="AL62" s="47"/>
      <c r="AM62" s="47"/>
    </row>
    <row r="63" spans="2:39" x14ac:dyDescent="0.15">
      <c r="B63" s="700">
        <v>70</v>
      </c>
      <c r="C63" s="704">
        <f t="shared" ca="1" si="1"/>
        <v>3.8801601185595205</v>
      </c>
      <c r="D63" s="705">
        <f t="shared" ca="1" si="0"/>
        <v>3.8801601185595205</v>
      </c>
      <c r="E63" s="706"/>
      <c r="K63" s="480"/>
      <c r="L63" s="480"/>
      <c r="M63" s="480"/>
      <c r="N63" s="480"/>
      <c r="AC63" s="33"/>
      <c r="AE63" s="47"/>
      <c r="AF63" s="47"/>
      <c r="AG63" s="47"/>
      <c r="AH63" s="47"/>
      <c r="AI63" s="47"/>
      <c r="AJ63" s="47"/>
      <c r="AK63" s="47"/>
      <c r="AL63" s="47"/>
      <c r="AM63" s="47"/>
    </row>
    <row r="64" spans="2:39" x14ac:dyDescent="0.15">
      <c r="B64" s="700">
        <v>80</v>
      </c>
      <c r="C64" s="704">
        <f t="shared" ca="1" si="1"/>
        <v>3.9930237299119029</v>
      </c>
      <c r="D64" s="705">
        <f t="shared" ca="1" si="0"/>
        <v>3.9930237299119029</v>
      </c>
      <c r="E64" s="706"/>
      <c r="K64" s="480"/>
      <c r="L64" s="480"/>
      <c r="M64" s="480"/>
      <c r="N64" s="480"/>
      <c r="AC64" s="33"/>
      <c r="AE64" s="47"/>
      <c r="AF64" s="47"/>
      <c r="AG64" s="47"/>
      <c r="AH64" s="47"/>
      <c r="AI64" s="47"/>
      <c r="AJ64" s="47"/>
      <c r="AK64" s="47"/>
      <c r="AL64" s="47"/>
      <c r="AM64" s="47"/>
    </row>
    <row r="65" spans="2:39" x14ac:dyDescent="0.15">
      <c r="B65" s="700">
        <v>90</v>
      </c>
      <c r="C65" s="704">
        <f t="shared" ca="1" si="1"/>
        <v>4.1167203030658275</v>
      </c>
      <c r="D65" s="705">
        <f t="shared" ca="1" si="0"/>
        <v>4.1167203030658275</v>
      </c>
      <c r="E65" s="706"/>
      <c r="K65" s="158"/>
      <c r="L65" s="158"/>
      <c r="M65" s="158"/>
      <c r="N65" s="158"/>
      <c r="AC65" s="33"/>
      <c r="AE65" s="47"/>
      <c r="AF65" s="47"/>
      <c r="AG65" s="47"/>
      <c r="AH65" s="47"/>
      <c r="AI65" s="47"/>
      <c r="AJ65" s="47"/>
      <c r="AK65" s="47"/>
      <c r="AL65" s="47"/>
      <c r="AM65" s="47"/>
    </row>
    <row r="66" spans="2:39" x14ac:dyDescent="0.15">
      <c r="B66" s="700">
        <v>100</v>
      </c>
      <c r="C66" s="704">
        <f t="shared" ca="1" si="1"/>
        <v>4.25</v>
      </c>
      <c r="D66" s="705">
        <f t="shared" ca="1" si="0"/>
        <v>4.25</v>
      </c>
      <c r="E66" s="706"/>
      <c r="K66" s="481"/>
      <c r="L66" s="481"/>
      <c r="M66" s="481"/>
      <c r="N66" s="481"/>
      <c r="AC66" s="33"/>
      <c r="AE66" s="47"/>
      <c r="AF66" s="47"/>
      <c r="AG66" s="47"/>
      <c r="AH66" s="47"/>
      <c r="AI66" s="47"/>
      <c r="AJ66" s="47"/>
      <c r="AK66" s="47"/>
      <c r="AL66" s="47"/>
      <c r="AM66" s="47"/>
    </row>
    <row r="67" spans="2:39" x14ac:dyDescent="0.15">
      <c r="K67" s="155"/>
      <c r="L67" s="155"/>
      <c r="M67" s="155"/>
      <c r="N67" s="155"/>
      <c r="AC67" s="33"/>
      <c r="AE67" s="47"/>
      <c r="AF67" s="47"/>
      <c r="AG67" s="47"/>
      <c r="AH67" s="47"/>
      <c r="AI67" s="47"/>
      <c r="AJ67" s="47"/>
      <c r="AK67" s="47"/>
      <c r="AL67" s="47"/>
      <c r="AM67" s="47"/>
    </row>
    <row r="68" spans="2:39" x14ac:dyDescent="0.15">
      <c r="AC68" s="33"/>
      <c r="AE68" s="47"/>
      <c r="AF68" s="47"/>
      <c r="AG68" s="47"/>
      <c r="AH68" s="47"/>
      <c r="AI68" s="47"/>
      <c r="AJ68" s="47"/>
      <c r="AK68" s="47"/>
      <c r="AL68" s="47"/>
      <c r="AM68" s="47"/>
    </row>
    <row r="69" spans="2:39" x14ac:dyDescent="0.15">
      <c r="AC69" s="33"/>
      <c r="AE69" s="47"/>
      <c r="AF69" s="47"/>
      <c r="AG69" s="47"/>
      <c r="AH69" s="47"/>
      <c r="AI69" s="47"/>
      <c r="AJ69" s="47"/>
      <c r="AK69" s="47"/>
      <c r="AL69" s="47"/>
      <c r="AM69" s="47"/>
    </row>
    <row r="70" spans="2:39" x14ac:dyDescent="0.15">
      <c r="AC70" s="33"/>
      <c r="AE70" s="47"/>
      <c r="AF70" s="47"/>
      <c r="AG70" s="47"/>
      <c r="AH70" s="47"/>
      <c r="AI70" s="47"/>
      <c r="AJ70" s="47"/>
      <c r="AK70" s="47"/>
      <c r="AL70" s="47"/>
      <c r="AM70" s="47"/>
    </row>
    <row r="71" spans="2:39" ht="14" thickBot="1" x14ac:dyDescent="0.2">
      <c r="AC71" s="33"/>
      <c r="AE71" s="47"/>
      <c r="AF71" s="47"/>
      <c r="AG71" s="47"/>
      <c r="AH71" s="47"/>
      <c r="AI71" s="47"/>
      <c r="AJ71" s="47"/>
      <c r="AK71" s="47"/>
      <c r="AL71" s="47"/>
      <c r="AM71" s="47"/>
    </row>
    <row r="72" spans="2:39" ht="21" thickBot="1" x14ac:dyDescent="0.25">
      <c r="B72" s="1262" t="s">
        <v>1999</v>
      </c>
      <c r="C72" s="1263"/>
      <c r="D72" s="1263"/>
      <c r="E72" s="1263"/>
      <c r="F72" s="1263"/>
      <c r="G72" s="1263"/>
      <c r="H72" s="1263"/>
      <c r="I72" s="1263"/>
      <c r="J72" s="1263"/>
      <c r="K72" s="1263"/>
      <c r="L72" s="1263"/>
      <c r="M72" s="1264"/>
      <c r="N72" s="540"/>
      <c r="O72" s="540"/>
      <c r="AC72" s="33"/>
      <c r="AE72" s="47"/>
      <c r="AF72" s="47"/>
      <c r="AG72" s="47"/>
      <c r="AH72" s="47"/>
      <c r="AI72" s="47"/>
      <c r="AJ72" s="47"/>
      <c r="AK72" s="47"/>
      <c r="AL72" s="47"/>
      <c r="AM72" s="47"/>
    </row>
    <row r="73" spans="2:39" ht="14" thickBot="1" x14ac:dyDescent="0.2">
      <c r="B73" s="1351" t="s">
        <v>2000</v>
      </c>
      <c r="C73" s="1352"/>
      <c r="D73" s="1352"/>
      <c r="E73" s="1352"/>
      <c r="F73" s="1352"/>
      <c r="G73" s="1352"/>
      <c r="H73" s="1352"/>
      <c r="I73" s="1352"/>
      <c r="J73" s="1352"/>
      <c r="K73" s="1352"/>
      <c r="L73" s="1352"/>
      <c r="M73" s="1353"/>
      <c r="N73" s="46"/>
      <c r="O73" s="46"/>
      <c r="P73" s="480"/>
      <c r="Q73" s="480"/>
      <c r="R73" s="480"/>
      <c r="S73" s="480"/>
      <c r="AC73" s="33"/>
      <c r="AE73" s="47"/>
      <c r="AF73" s="47"/>
      <c r="AG73" s="47"/>
      <c r="AH73" s="47"/>
      <c r="AI73" s="47"/>
      <c r="AJ73" s="47"/>
      <c r="AK73" s="47"/>
      <c r="AL73" s="47"/>
      <c r="AM73" s="47"/>
    </row>
    <row r="74" spans="2:39" ht="14" thickBot="1" x14ac:dyDescent="0.2">
      <c r="H74" s="481"/>
      <c r="I74" s="481"/>
      <c r="J74" s="481"/>
      <c r="K74" s="481"/>
      <c r="L74" s="481"/>
      <c r="M74" s="481"/>
      <c r="N74" s="481"/>
      <c r="O74" s="481"/>
      <c r="P74" s="480"/>
      <c r="Q74" s="480"/>
      <c r="R74" s="480"/>
      <c r="S74" s="480"/>
      <c r="AC74" s="33"/>
      <c r="AE74" s="47"/>
      <c r="AF74" s="47"/>
      <c r="AG74" s="47"/>
      <c r="AH74" s="47"/>
      <c r="AI74" s="47"/>
      <c r="AJ74" s="47"/>
      <c r="AK74" s="47"/>
      <c r="AL74" s="47"/>
      <c r="AM74" s="47"/>
    </row>
    <row r="75" spans="2:39" ht="19" thickBot="1" x14ac:dyDescent="0.25">
      <c r="B75" s="1310" t="s">
        <v>2001</v>
      </c>
      <c r="C75" s="1311"/>
      <c r="D75" s="1311"/>
      <c r="E75" s="1311"/>
      <c r="F75" s="1311"/>
      <c r="G75" s="1311"/>
      <c r="H75" s="1311"/>
      <c r="I75" s="1311"/>
      <c r="J75" s="1311"/>
      <c r="K75" s="1311"/>
      <c r="L75" s="1311"/>
      <c r="M75" s="1312"/>
      <c r="N75" s="698"/>
      <c r="O75" s="698"/>
      <c r="P75" s="480"/>
      <c r="Q75" s="480"/>
      <c r="R75" s="480"/>
      <c r="S75" s="480"/>
      <c r="AC75" s="33"/>
      <c r="AE75" s="47"/>
      <c r="AF75" s="47"/>
      <c r="AG75" s="47"/>
      <c r="AH75" s="47"/>
      <c r="AI75" s="47"/>
      <c r="AJ75" s="47"/>
      <c r="AK75" s="47"/>
      <c r="AL75" s="47"/>
      <c r="AM75" s="47"/>
    </row>
    <row r="76" spans="2:39" ht="14" thickBot="1" x14ac:dyDescent="0.2">
      <c r="B76" s="1354" t="s">
        <v>2002</v>
      </c>
      <c r="C76" s="1355"/>
      <c r="D76" s="1355"/>
      <c r="E76" s="1355"/>
      <c r="F76" s="1355"/>
      <c r="G76" s="1355"/>
      <c r="H76" s="1355"/>
      <c r="I76" s="1355"/>
      <c r="J76" s="1355"/>
      <c r="K76" s="1355"/>
      <c r="L76" s="1355"/>
      <c r="M76" s="1356"/>
      <c r="N76" s="481"/>
      <c r="O76" s="481"/>
      <c r="P76" s="480"/>
      <c r="Q76" s="480"/>
      <c r="R76" s="480"/>
      <c r="S76" s="480"/>
    </row>
    <row r="77" spans="2:39" x14ac:dyDescent="0.15">
      <c r="B77" s="8"/>
      <c r="K77" s="158"/>
      <c r="L77" s="158"/>
      <c r="M77" s="158"/>
      <c r="N77" s="158"/>
      <c r="O77" s="158"/>
      <c r="P77" s="480"/>
      <c r="Q77" s="480"/>
      <c r="R77" s="480"/>
      <c r="S77" s="480"/>
      <c r="AC77" s="33"/>
    </row>
    <row r="78" spans="2:39" x14ac:dyDescent="0.15">
      <c r="B78" s="1316"/>
      <c r="C78" s="1316"/>
      <c r="D78" s="1316"/>
      <c r="E78" s="1316"/>
      <c r="K78" s="481"/>
      <c r="L78" s="481"/>
      <c r="M78" s="481"/>
      <c r="N78" s="481"/>
      <c r="O78" s="481"/>
    </row>
    <row r="79" spans="2:39" x14ac:dyDescent="0.15">
      <c r="B79" s="1218" t="s">
        <v>2003</v>
      </c>
      <c r="C79" s="1218" t="s">
        <v>2004</v>
      </c>
      <c r="D79" s="1218" t="s">
        <v>2005</v>
      </c>
      <c r="E79" s="1218" t="s">
        <v>2006</v>
      </c>
      <c r="M79" s="159"/>
      <c r="N79" s="159"/>
      <c r="O79" s="159"/>
      <c r="P79" s="480"/>
      <c r="Q79" s="480"/>
      <c r="R79" s="480"/>
      <c r="S79" s="480"/>
    </row>
    <row r="80" spans="2:39" x14ac:dyDescent="0.15">
      <c r="B80" s="702" t="s">
        <v>2007</v>
      </c>
      <c r="C80" s="675">
        <f>Chem!D8</f>
        <v>187.1</v>
      </c>
      <c r="D80" s="675">
        <f ca="1">E49</f>
        <v>185.86872109209955</v>
      </c>
      <c r="E80" s="677">
        <f>Chem!F8</f>
        <v>0</v>
      </c>
      <c r="M80" s="159"/>
      <c r="N80" s="159"/>
      <c r="O80" s="159"/>
      <c r="P80" s="480"/>
      <c r="Q80" s="480"/>
      <c r="R80" s="480"/>
      <c r="S80" s="480"/>
    </row>
    <row r="81" spans="2:19" ht="12.75" customHeight="1" x14ac:dyDescent="0.15">
      <c r="B81" s="702" t="s">
        <v>2008</v>
      </c>
      <c r="C81" s="676">
        <f>Chem!D38</f>
        <v>360.4</v>
      </c>
      <c r="D81" s="675">
        <f ca="1">E50</f>
        <v>360.73504030384282</v>
      </c>
      <c r="E81" s="677">
        <f>Chem!F38</f>
        <v>0</v>
      </c>
      <c r="M81" s="482"/>
      <c r="N81" s="482"/>
      <c r="O81" s="482"/>
      <c r="P81" s="480"/>
      <c r="Q81" s="480"/>
      <c r="R81" s="480"/>
      <c r="S81" s="480"/>
    </row>
    <row r="82" spans="2:19" ht="12.75" customHeight="1" x14ac:dyDescent="0.15">
      <c r="B82" s="702" t="s">
        <v>2009</v>
      </c>
      <c r="C82" s="675">
        <f>Chem!D37</f>
        <v>1.1000000000000001</v>
      </c>
      <c r="D82" s="675">
        <f ca="1">E51</f>
        <v>1.1000000000000012</v>
      </c>
      <c r="E82" s="677">
        <f>Chem!F37</f>
        <v>0</v>
      </c>
      <c r="M82" s="155"/>
      <c r="N82" s="155"/>
      <c r="O82" s="155"/>
      <c r="P82" s="480"/>
      <c r="Q82" s="480"/>
      <c r="R82" s="480"/>
      <c r="S82" s="480"/>
    </row>
    <row r="83" spans="2:19" ht="12.75" customHeight="1" x14ac:dyDescent="0.15">
      <c r="B83" s="703" t="str">
        <f t="shared" ref="B83:B93" si="2">"OCV at " &amp; B56 &amp; "% SOC, V"</f>
        <v>OCV at 0% SOC, V</v>
      </c>
      <c r="C83" s="677">
        <f>Chem!D96</f>
        <v>3</v>
      </c>
      <c r="D83" s="677">
        <f t="shared" ref="D83:D93" ca="1" si="3">C56</f>
        <v>3.0885078977859246</v>
      </c>
      <c r="E83" s="677">
        <f>Chem!F96</f>
        <v>0</v>
      </c>
      <c r="M83" s="155"/>
      <c r="N83" s="155"/>
      <c r="O83" s="155"/>
      <c r="P83" s="480"/>
      <c r="Q83" s="480"/>
      <c r="R83" s="480"/>
      <c r="S83" s="480"/>
    </row>
    <row r="84" spans="2:19" ht="12.75" customHeight="1" x14ac:dyDescent="0.15">
      <c r="B84" s="703" t="str">
        <f t="shared" si="2"/>
        <v>OCV at 10% SOC, V</v>
      </c>
      <c r="C84" s="677">
        <f>Chem!D97</f>
        <v>3.5361555825881736</v>
      </c>
      <c r="D84" s="677">
        <f t="shared" ca="1" si="3"/>
        <v>3.5262987203432363</v>
      </c>
      <c r="E84" s="677">
        <f>Chem!F97</f>
        <v>0</v>
      </c>
      <c r="M84" s="481"/>
      <c r="N84" s="481"/>
      <c r="O84" s="481"/>
    </row>
    <row r="85" spans="2:19" ht="12.75" customHeight="1" x14ac:dyDescent="0.15">
      <c r="B85" s="703" t="str">
        <f t="shared" si="2"/>
        <v>OCV at 20% SOC, V</v>
      </c>
      <c r="C85" s="677">
        <f>Chem!D98</f>
        <v>3.6031981471818249</v>
      </c>
      <c r="D85" s="677">
        <f t="shared" ca="1" si="3"/>
        <v>3.5899318380555121</v>
      </c>
      <c r="E85" s="677">
        <f>Chem!F98</f>
        <v>0</v>
      </c>
      <c r="M85" s="158"/>
      <c r="N85" s="158"/>
      <c r="O85" s="158"/>
    </row>
    <row r="86" spans="2:19" ht="12.75" customHeight="1" x14ac:dyDescent="0.15">
      <c r="B86" s="703" t="str">
        <f t="shared" si="2"/>
        <v>OCV at 30% SOC, V</v>
      </c>
      <c r="C86" s="677">
        <f>Chem!D99</f>
        <v>3.6493038048930022</v>
      </c>
      <c r="D86" s="677">
        <f t="shared" ca="1" si="3"/>
        <v>3.6394255775301674</v>
      </c>
      <c r="E86" s="677">
        <f>Chem!F99</f>
        <v>0</v>
      </c>
      <c r="M86" s="158"/>
      <c r="N86" s="158"/>
      <c r="O86" s="158"/>
      <c r="P86" s="480"/>
      <c r="Q86" s="480"/>
      <c r="R86" s="480"/>
      <c r="S86" s="480"/>
    </row>
    <row r="87" spans="2:19" ht="12.75" customHeight="1" x14ac:dyDescent="0.15">
      <c r="B87" s="703" t="str">
        <f t="shared" si="2"/>
        <v>OCV at 40% SOC, V</v>
      </c>
      <c r="C87" s="677">
        <f>Chem!D100</f>
        <v>3.6730491343489282</v>
      </c>
      <c r="D87" s="677">
        <f t="shared" ca="1" si="3"/>
        <v>3.6639131806503222</v>
      </c>
      <c r="E87" s="677">
        <f>Chem!F100</f>
        <v>0</v>
      </c>
      <c r="M87" s="158"/>
      <c r="N87" s="158"/>
      <c r="O87" s="158"/>
      <c r="P87" s="480"/>
      <c r="Q87" s="480"/>
      <c r="R87" s="480"/>
      <c r="S87" s="480"/>
    </row>
    <row r="88" spans="2:19" ht="12.75" customHeight="1" x14ac:dyDescent="0.15">
      <c r="B88" s="703" t="str">
        <f t="shared" si="2"/>
        <v>OCV at 50% SOC, V</v>
      </c>
      <c r="C88" s="677">
        <f>Chem!D101</f>
        <v>3.7046640670027609</v>
      </c>
      <c r="D88" s="677">
        <f t="shared" ca="1" si="3"/>
        <v>3.7054015252771344</v>
      </c>
      <c r="E88" s="677">
        <f>Chem!F101</f>
        <v>0</v>
      </c>
      <c r="M88" s="158"/>
      <c r="N88" s="158"/>
      <c r="O88" s="158"/>
      <c r="P88" s="480"/>
      <c r="Q88" s="480"/>
      <c r="R88" s="480"/>
      <c r="S88" s="480"/>
    </row>
    <row r="89" spans="2:19" ht="12.75" customHeight="1" x14ac:dyDescent="0.15">
      <c r="B89" s="703" t="str">
        <f t="shared" si="2"/>
        <v>OCV at 60% SOC, V</v>
      </c>
      <c r="C89" s="677">
        <f>Chem!D102</f>
        <v>3.7642462292684384</v>
      </c>
      <c r="D89" s="677">
        <f t="shared" ca="1" si="3"/>
        <v>3.7720620640260716</v>
      </c>
      <c r="E89" s="677">
        <f>Chem!F102</f>
        <v>0</v>
      </c>
      <c r="M89" s="158"/>
      <c r="N89" s="158"/>
      <c r="O89" s="158"/>
      <c r="P89" s="480"/>
      <c r="Q89" s="480"/>
      <c r="R89" s="480"/>
      <c r="S89" s="480"/>
    </row>
    <row r="90" spans="2:19" ht="12.75" customHeight="1" x14ac:dyDescent="0.15">
      <c r="B90" s="703" t="str">
        <f t="shared" si="2"/>
        <v>OCV at 70% SOC, V</v>
      </c>
      <c r="C90" s="677">
        <f>Chem!D103</f>
        <v>3.8869557643111525</v>
      </c>
      <c r="D90" s="677">
        <f t="shared" ca="1" si="3"/>
        <v>3.8801601185595205</v>
      </c>
      <c r="E90" s="677">
        <f>Chem!F103</f>
        <v>0</v>
      </c>
      <c r="M90" s="158"/>
      <c r="N90" s="158"/>
      <c r="O90" s="158"/>
      <c r="P90" s="480"/>
      <c r="Q90" s="480"/>
      <c r="R90" s="480"/>
      <c r="S90" s="480"/>
    </row>
    <row r="91" spans="2:19" ht="13.5" customHeight="1" x14ac:dyDescent="0.15">
      <c r="B91" s="703" t="str">
        <f t="shared" si="2"/>
        <v>OCV at 80% SOC, V</v>
      </c>
      <c r="C91" s="677">
        <f>Chem!D104</f>
        <v>4.004894167867513</v>
      </c>
      <c r="D91" s="677">
        <f t="shared" ca="1" si="3"/>
        <v>3.9930237299119029</v>
      </c>
      <c r="E91" s="677">
        <f>Chem!F104</f>
        <v>0</v>
      </c>
      <c r="M91" s="158"/>
      <c r="N91" s="158"/>
      <c r="O91" s="158"/>
      <c r="P91" s="480"/>
      <c r="Q91" s="480"/>
      <c r="R91" s="480"/>
      <c r="S91" s="480"/>
    </row>
    <row r="92" spans="2:19" x14ac:dyDescent="0.15">
      <c r="B92" s="703" t="str">
        <f t="shared" si="2"/>
        <v>OCV at 90% SOC, V</v>
      </c>
      <c r="C92" s="677">
        <f>Chem!D105</f>
        <v>4.131055418411413</v>
      </c>
      <c r="D92" s="677">
        <f t="shared" ca="1" si="3"/>
        <v>4.1167203030658275</v>
      </c>
      <c r="E92" s="677">
        <f>Chem!F105</f>
        <v>0</v>
      </c>
      <c r="M92" s="158"/>
      <c r="N92" s="158"/>
      <c r="O92" s="158"/>
      <c r="P92" s="480"/>
      <c r="Q92" s="480"/>
      <c r="R92" s="480"/>
      <c r="S92" s="480"/>
    </row>
    <row r="93" spans="2:19" x14ac:dyDescent="0.15">
      <c r="B93" s="703" t="str">
        <f t="shared" si="2"/>
        <v>OCV at 100% SOC, V</v>
      </c>
      <c r="C93" s="677">
        <f>Chem!D106</f>
        <v>4.2499999999999982</v>
      </c>
      <c r="D93" s="677">
        <f t="shared" ca="1" si="3"/>
        <v>4.25</v>
      </c>
      <c r="E93" s="677">
        <f>Chem!F106</f>
        <v>0</v>
      </c>
      <c r="M93" s="480"/>
      <c r="N93" s="480"/>
      <c r="O93" s="480"/>
      <c r="P93" s="480"/>
      <c r="Q93" s="480"/>
      <c r="R93" s="480"/>
      <c r="S93" s="480"/>
    </row>
    <row r="94" spans="2:19" x14ac:dyDescent="0.15">
      <c r="K94" s="480"/>
      <c r="L94" s="480"/>
      <c r="M94" s="480"/>
      <c r="N94" s="480"/>
      <c r="O94" s="480"/>
      <c r="P94" s="480"/>
      <c r="Q94" s="480"/>
      <c r="R94" s="480"/>
      <c r="S94" s="480"/>
    </row>
    <row r="95" spans="2:19" x14ac:dyDescent="0.15">
      <c r="H95" s="480"/>
      <c r="I95" s="480"/>
      <c r="J95" s="480"/>
      <c r="K95" s="480"/>
      <c r="L95" s="480"/>
      <c r="M95" s="480"/>
      <c r="N95" s="480"/>
      <c r="O95" s="480"/>
      <c r="P95" s="46"/>
      <c r="Q95" s="46"/>
      <c r="R95" s="46"/>
      <c r="S95" s="46"/>
    </row>
    <row r="96" spans="2:19" x14ac:dyDescent="0.15">
      <c r="E96" s="8" t="s">
        <v>2010</v>
      </c>
      <c r="H96" s="46"/>
      <c r="I96" s="46"/>
      <c r="J96" s="46"/>
      <c r="K96" s="46"/>
      <c r="L96" s="46"/>
      <c r="M96" s="46"/>
      <c r="N96" s="46"/>
      <c r="O96" s="46"/>
    </row>
    <row r="97" spans="2:19" x14ac:dyDescent="0.15">
      <c r="F97" s="8"/>
      <c r="H97" s="46"/>
      <c r="I97" s="46"/>
      <c r="J97" s="46"/>
      <c r="K97" s="46"/>
      <c r="L97" s="46"/>
      <c r="M97" s="46"/>
      <c r="N97" s="46"/>
      <c r="O97" s="46"/>
    </row>
    <row r="98" spans="2:19" ht="14" thickBot="1" x14ac:dyDescent="0.2"/>
    <row r="99" spans="2:19" ht="19" thickBot="1" x14ac:dyDescent="0.25">
      <c r="B99" s="1310" t="s">
        <v>2011</v>
      </c>
      <c r="C99" s="1311"/>
      <c r="D99" s="1311"/>
      <c r="E99" s="1311"/>
      <c r="F99" s="1311"/>
      <c r="G99" s="1311"/>
      <c r="H99" s="1311"/>
      <c r="I99" s="1311"/>
      <c r="J99" s="1311"/>
      <c r="K99" s="1311"/>
      <c r="L99" s="1311"/>
      <c r="M99" s="1312"/>
      <c r="N99" s="699"/>
      <c r="O99" s="699"/>
      <c r="P99" s="155"/>
      <c r="Q99" s="155"/>
      <c r="R99" s="155"/>
      <c r="S99" s="155"/>
    </row>
    <row r="100" spans="2:19" ht="14" thickBot="1" x14ac:dyDescent="0.2">
      <c r="B100" s="1354" t="s">
        <v>2012</v>
      </c>
      <c r="C100" s="1355"/>
      <c r="D100" s="1355"/>
      <c r="E100" s="1355"/>
      <c r="F100" s="1355"/>
      <c r="G100" s="1355"/>
      <c r="H100" s="1355"/>
      <c r="I100" s="1355"/>
      <c r="J100" s="1355"/>
      <c r="K100" s="1355"/>
      <c r="L100" s="1355"/>
      <c r="M100" s="1356"/>
      <c r="N100" s="480"/>
      <c r="O100" s="480"/>
      <c r="P100" s="155"/>
      <c r="Q100" s="155"/>
      <c r="R100" s="155"/>
      <c r="S100" s="155"/>
    </row>
    <row r="101" spans="2:19" x14ac:dyDescent="0.15">
      <c r="H101" s="480"/>
      <c r="I101" s="480"/>
      <c r="J101" s="480"/>
      <c r="K101" s="480"/>
      <c r="L101" s="480"/>
      <c r="M101" s="480"/>
      <c r="N101" s="480"/>
      <c r="O101" s="480"/>
      <c r="P101" s="155"/>
      <c r="Q101" s="155"/>
      <c r="R101" s="155"/>
      <c r="S101" s="155"/>
    </row>
    <row r="102" spans="2:19" ht="14" thickBot="1" x14ac:dyDescent="0.2">
      <c r="B102" s="1022" t="s">
        <v>2013</v>
      </c>
      <c r="C102" s="353"/>
      <c r="D102" s="353"/>
      <c r="E102" s="353"/>
      <c r="G102" s="158"/>
      <c r="H102" s="480"/>
      <c r="I102" s="480"/>
      <c r="J102" s="480"/>
      <c r="K102" s="480"/>
      <c r="L102" s="480"/>
      <c r="M102" s="480"/>
      <c r="N102" s="480"/>
      <c r="O102" s="480"/>
      <c r="P102" s="155"/>
      <c r="Q102" s="155"/>
      <c r="R102" s="155"/>
      <c r="S102" s="155"/>
    </row>
    <row r="103" spans="2:19" ht="14" thickBot="1" x14ac:dyDescent="0.2">
      <c r="B103" s="8" t="s">
        <v>2014</v>
      </c>
      <c r="C103" s="1019" t="s">
        <v>699</v>
      </c>
      <c r="D103" s="1021"/>
      <c r="E103" s="1020">
        <f>INDEX(Lists!$C$6:$C$58, MATCH(C103, Lists!B6:B58, 0))</f>
        <v>14</v>
      </c>
      <c r="G103" s="158"/>
      <c r="H103" s="480"/>
      <c r="I103" s="480"/>
      <c r="J103" s="480"/>
      <c r="K103" s="480"/>
      <c r="L103" s="480"/>
      <c r="M103" s="480"/>
      <c r="N103" s="480"/>
      <c r="O103" s="480"/>
      <c r="P103" s="155"/>
      <c r="Q103" s="155"/>
      <c r="R103" s="155"/>
      <c r="S103" s="155"/>
    </row>
    <row r="104" spans="2:19" x14ac:dyDescent="0.15">
      <c r="D104" s="481"/>
      <c r="E104" s="481"/>
      <c r="G104" s="481"/>
    </row>
    <row r="105" spans="2:19" x14ac:dyDescent="0.15">
      <c r="B105" s="26" t="s">
        <v>2015</v>
      </c>
      <c r="D105" s="159"/>
      <c r="E105" s="159"/>
      <c r="G105" s="159"/>
      <c r="H105" s="480"/>
      <c r="I105" s="480"/>
      <c r="J105" s="480"/>
      <c r="K105" s="480"/>
      <c r="L105" s="480"/>
      <c r="M105" s="480"/>
      <c r="N105" s="480"/>
      <c r="O105" s="480"/>
    </row>
    <row r="106" spans="2:19" x14ac:dyDescent="0.15">
      <c r="B106" s="159" t="s">
        <v>2016</v>
      </c>
      <c r="C106" s="721" t="s">
        <v>2017</v>
      </c>
      <c r="D106" s="159"/>
      <c r="E106" s="159"/>
      <c r="G106" s="159"/>
      <c r="H106" s="480"/>
      <c r="I106" s="480"/>
      <c r="J106" s="480"/>
      <c r="K106" s="480"/>
      <c r="L106" s="480"/>
      <c r="M106" s="480"/>
      <c r="N106" s="480"/>
      <c r="O106" s="480"/>
    </row>
    <row r="107" spans="2:19" x14ac:dyDescent="0.15">
      <c r="B107" s="159" t="s">
        <v>2018</v>
      </c>
      <c r="C107" s="225" t="str">
        <f>IF(ISERROR(MATCH(C106, _chem_couples, 0)), "no problems", "select a new name, couple name exists")</f>
        <v>no problems</v>
      </c>
      <c r="D107" s="482"/>
      <c r="E107" s="482"/>
      <c r="G107" s="482"/>
      <c r="H107" s="480"/>
      <c r="I107" s="480"/>
      <c r="J107" s="480"/>
      <c r="K107" s="480"/>
      <c r="L107" s="480"/>
      <c r="M107" s="480"/>
      <c r="N107" s="480"/>
      <c r="O107" s="480"/>
      <c r="P107" s="156"/>
      <c r="Q107" s="156"/>
      <c r="R107" s="156"/>
      <c r="S107" s="156"/>
    </row>
    <row r="108" spans="2:19" x14ac:dyDescent="0.15">
      <c r="B108" s="8"/>
      <c r="C108" s="8"/>
      <c r="D108" s="155"/>
      <c r="E108" s="155"/>
      <c r="G108" s="155"/>
      <c r="H108" s="480"/>
      <c r="I108" s="480"/>
      <c r="J108" s="480"/>
      <c r="K108" s="480"/>
      <c r="L108" s="480"/>
      <c r="M108" s="480"/>
      <c r="N108" s="480"/>
      <c r="O108" s="480"/>
      <c r="P108" s="156"/>
      <c r="Q108" s="156"/>
      <c r="R108" s="156"/>
      <c r="S108" s="156"/>
    </row>
    <row r="109" spans="2:19" x14ac:dyDescent="0.15">
      <c r="D109" s="46"/>
      <c r="E109" s="155"/>
      <c r="G109" s="155"/>
      <c r="H109" s="480"/>
      <c r="I109" s="480"/>
      <c r="J109" s="480"/>
      <c r="K109" s="480"/>
      <c r="L109" s="480"/>
      <c r="M109" s="480"/>
      <c r="N109" s="480"/>
      <c r="O109" s="480"/>
      <c r="P109" s="156"/>
      <c r="Q109" s="156"/>
      <c r="R109" s="156"/>
      <c r="S109" s="156"/>
    </row>
    <row r="110" spans="2:19" x14ac:dyDescent="0.15">
      <c r="D110" s="8"/>
      <c r="E110" s="225"/>
      <c r="F110" s="481"/>
      <c r="G110" s="481"/>
      <c r="P110" s="480"/>
      <c r="Q110" s="480"/>
      <c r="R110" s="480"/>
      <c r="S110" s="480"/>
    </row>
    <row r="111" spans="2:19" x14ac:dyDescent="0.15">
      <c r="P111" s="480"/>
      <c r="Q111" s="480"/>
      <c r="R111" s="480"/>
      <c r="S111" s="480"/>
    </row>
    <row r="112" spans="2:19" x14ac:dyDescent="0.15">
      <c r="P112" s="480"/>
      <c r="Q112" s="480"/>
      <c r="R112" s="480"/>
      <c r="S112" s="480"/>
    </row>
    <row r="113" spans="2:19" x14ac:dyDescent="0.15">
      <c r="P113" s="480"/>
      <c r="Q113" s="480"/>
      <c r="R113" s="480"/>
      <c r="S113" s="480"/>
    </row>
    <row r="114" spans="2:19" ht="14" thickBot="1" x14ac:dyDescent="0.2">
      <c r="P114" s="480"/>
      <c r="Q114" s="480"/>
      <c r="R114" s="480"/>
      <c r="S114" s="480"/>
    </row>
    <row r="115" spans="2:19" ht="21" thickBot="1" x14ac:dyDescent="0.25">
      <c r="B115" s="1262" t="s">
        <v>2019</v>
      </c>
      <c r="C115" s="1263"/>
      <c r="D115" s="1263"/>
      <c r="E115" s="1263"/>
      <c r="F115" s="1263"/>
      <c r="G115" s="1263"/>
      <c r="H115" s="1263"/>
      <c r="I115" s="1263"/>
      <c r="J115" s="1263"/>
      <c r="K115" s="1263"/>
      <c r="L115" s="1263"/>
      <c r="M115" s="1264"/>
      <c r="P115" s="480"/>
      <c r="Q115" s="480"/>
      <c r="R115" s="480"/>
      <c r="S115" s="480"/>
    </row>
    <row r="116" spans="2:19" x14ac:dyDescent="0.15">
      <c r="P116" s="480"/>
      <c r="Q116" s="480"/>
      <c r="R116" s="480"/>
      <c r="S116" s="480"/>
    </row>
    <row r="117" spans="2:19" ht="17" thickBot="1" x14ac:dyDescent="0.25">
      <c r="B117" s="5" t="s">
        <v>2020</v>
      </c>
      <c r="C117" s="8"/>
      <c r="D117" s="722"/>
      <c r="E117" s="8"/>
      <c r="F117" s="8"/>
      <c r="G117" s="8"/>
      <c r="H117" s="8"/>
      <c r="I117" s="8"/>
      <c r="P117" s="480"/>
      <c r="Q117" s="480"/>
      <c r="R117" s="480"/>
      <c r="S117" s="480"/>
    </row>
    <row r="118" spans="2:19" ht="14" thickBot="1" x14ac:dyDescent="0.2">
      <c r="B118" s="159" t="s">
        <v>2021</v>
      </c>
      <c r="C118" s="8"/>
      <c r="D118" s="8"/>
      <c r="E118" s="713" t="str">
        <f>C106</f>
        <v>NMC532-G-Add_test</v>
      </c>
      <c r="F118" s="8"/>
      <c r="G118" s="8"/>
      <c r="H118" s="539" t="s">
        <v>19</v>
      </c>
      <c r="I118" s="723">
        <v>1</v>
      </c>
      <c r="J118" s="8"/>
      <c r="P118" s="480"/>
      <c r="Q118" s="480"/>
      <c r="R118" s="480"/>
      <c r="S118" s="480"/>
    </row>
    <row r="119" spans="2:19" x14ac:dyDescent="0.15">
      <c r="B119" s="159" t="s">
        <v>2022</v>
      </c>
      <c r="C119" s="8"/>
      <c r="D119" s="8"/>
      <c r="E119" s="713" t="str">
        <f>IF(E123 = "", E125 &amp; " - " &amp;  E133, E123)</f>
        <v>NMC622 - G</v>
      </c>
      <c r="F119" s="562"/>
      <c r="G119" s="8"/>
      <c r="H119" s="8" t="s">
        <v>2023</v>
      </c>
      <c r="I119" s="8">
        <f>MAX(Lists!C6:C58)</f>
        <v>105</v>
      </c>
      <c r="J119" s="8"/>
      <c r="P119" s="480"/>
      <c r="Q119" s="480"/>
      <c r="R119" s="480"/>
      <c r="S119" s="480"/>
    </row>
    <row r="120" spans="2:19" x14ac:dyDescent="0.15">
      <c r="B120" s="159" t="s">
        <v>2024</v>
      </c>
      <c r="C120" s="8"/>
      <c r="D120" s="8"/>
      <c r="E120" s="713" cm="1">
        <f t="array" ref="E120">INDEX(Lists!$O$68:$AG$68,D16 )</f>
        <v>96.94</v>
      </c>
      <c r="F120" s="8"/>
      <c r="G120" s="8"/>
      <c r="H120" s="8"/>
      <c r="I120" s="8"/>
      <c r="J120" s="8"/>
      <c r="P120" s="155"/>
      <c r="Q120" s="155"/>
      <c r="R120" s="155"/>
      <c r="S120" s="155"/>
    </row>
    <row r="121" spans="2:19" x14ac:dyDescent="0.15">
      <c r="B121" s="159" t="s">
        <v>2025</v>
      </c>
      <c r="C121" s="8"/>
      <c r="D121" s="8"/>
      <c r="E121" s="713" cm="1">
        <f t="array" ref="E121">INDEX(Lists!$O$68:$AG$68,D22 )</f>
        <v>72</v>
      </c>
      <c r="F121" s="8"/>
      <c r="G121" s="8"/>
      <c r="H121" s="8"/>
      <c r="I121" s="8"/>
      <c r="J121" s="8"/>
    </row>
    <row r="122" spans="2:19" x14ac:dyDescent="0.15">
      <c r="B122" s="159" t="s">
        <v>2026</v>
      </c>
      <c r="C122" s="8"/>
      <c r="D122" s="8"/>
      <c r="E122" s="709">
        <f>D30</f>
        <v>4.25</v>
      </c>
      <c r="F122" s="8"/>
      <c r="G122" s="8"/>
      <c r="H122" s="8"/>
      <c r="I122" s="8"/>
      <c r="J122" s="8"/>
    </row>
    <row r="123" spans="2:19" x14ac:dyDescent="0.15">
      <c r="B123" s="701"/>
      <c r="C123" s="8"/>
      <c r="D123" s="8"/>
      <c r="E123" s="713"/>
      <c r="F123" s="8"/>
      <c r="H123" s="8"/>
      <c r="I123" s="8" t="s">
        <v>1977</v>
      </c>
      <c r="J123" s="8" t="s">
        <v>1978</v>
      </c>
    </row>
    <row r="124" spans="2:19" ht="16" x14ac:dyDescent="0.2">
      <c r="B124" s="5" t="s">
        <v>2027</v>
      </c>
      <c r="F124" s="8"/>
      <c r="H124" s="8" t="s">
        <v>2028</v>
      </c>
      <c r="I124" s="8" t="str">
        <f>D15</f>
        <v>NMC622</v>
      </c>
      <c r="J124" s="8" t="str">
        <f>D21</f>
        <v>G</v>
      </c>
    </row>
    <row r="125" spans="2:19" ht="14" x14ac:dyDescent="0.15">
      <c r="B125" s="725" t="s">
        <v>316</v>
      </c>
      <c r="C125" s="8"/>
      <c r="D125" s="8"/>
      <c r="E125" s="713" t="str">
        <f>I124</f>
        <v>NMC622</v>
      </c>
      <c r="F125" s="562"/>
      <c r="H125" s="8"/>
      <c r="I125" s="8">
        <f>D16</f>
        <v>3</v>
      </c>
      <c r="J125" s="8">
        <f>D22</f>
        <v>9</v>
      </c>
    </row>
    <row r="126" spans="2:19" x14ac:dyDescent="0.15">
      <c r="B126" s="8" t="s">
        <v>2029</v>
      </c>
      <c r="C126" s="8"/>
      <c r="D126" s="8"/>
      <c r="E126" s="679" cm="1">
        <f t="array" ref="E126">INDEX(Lists!$O$70:$AG$70, D16)</f>
        <v>276.47399307704654</v>
      </c>
      <c r="F126" s="8"/>
      <c r="H126" s="8"/>
      <c r="I126" s="8"/>
      <c r="J126" s="8"/>
    </row>
    <row r="127" spans="2:19" x14ac:dyDescent="0.15">
      <c r="B127" s="159" t="s">
        <v>2030</v>
      </c>
      <c r="C127" s="8"/>
      <c r="D127" s="8"/>
      <c r="E127" s="710">
        <f ca="1">IF($I$118=0,E122+E135,IF(E218=E122,E128,E128-E218*(E218-E122)/E122))</f>
        <v>4.3203076225518471</v>
      </c>
      <c r="F127" s="8"/>
      <c r="H127" s="8" t="s">
        <v>2031</v>
      </c>
      <c r="I127" s="8" cm="1">
        <f t="array" ref="I127">INDEX(Lists!$O$70:$AG$70, I125)</f>
        <v>276.47399307704654</v>
      </c>
      <c r="J127" s="8" cm="1">
        <f t="array" ref="J127">INDEX(Lists!$O$70:$AG$70, J125)</f>
        <v>372.24151234567904</v>
      </c>
    </row>
    <row r="128" spans="2:19" x14ac:dyDescent="0.15">
      <c r="B128" s="159" t="s">
        <v>2032</v>
      </c>
      <c r="C128" s="8"/>
      <c r="D128" s="8"/>
      <c r="E128" s="710">
        <f ca="1">E127</f>
        <v>4.3203076225518471</v>
      </c>
      <c r="F128" s="8"/>
      <c r="H128" s="750" t="s">
        <v>280</v>
      </c>
      <c r="I128" s="750"/>
      <c r="J128" s="750"/>
    </row>
    <row r="129" spans="2:10" x14ac:dyDescent="0.15">
      <c r="B129" s="159" t="s">
        <v>2033</v>
      </c>
      <c r="C129" s="8"/>
      <c r="D129" s="8"/>
      <c r="E129" s="711">
        <f ca="1">(1-FORECAST(E127,OFFSET($H129:$H169,MATCH(E127,$I$129:$I$169,-1)-1,0,2),OFFSET($I$129:$I$169,MATCH(E127,$I$129:$I$169,-1)-1,0,2)))*$E$126</f>
        <v>197.20422057832073</v>
      </c>
      <c r="F129" s="8"/>
      <c r="H129" s="8">
        <v>0.01</v>
      </c>
      <c r="I129" s="8" cm="1">
        <f t="array" ref="I129">INDEX(Lists!$O74:$AG74, I$125)</f>
        <v>7.5664020209378755</v>
      </c>
      <c r="J129" s="8" cm="1">
        <f t="array" ref="J129">INDEX(Lists!$O74:$AG74, J$125)</f>
        <v>0.62007145585586299</v>
      </c>
    </row>
    <row r="130" spans="2:10" x14ac:dyDescent="0.15">
      <c r="B130" s="159" t="s">
        <v>2034</v>
      </c>
      <c r="C130" s="8"/>
      <c r="D130" s="8"/>
      <c r="E130" s="709">
        <f>D18</f>
        <v>0.05</v>
      </c>
      <c r="F130" s="8"/>
      <c r="H130" s="8">
        <v>2.5000000000000001E-2</v>
      </c>
      <c r="I130" s="8" cm="1">
        <f t="array" ref="I130">INDEX(Lists!$O75:$AG75, I$125)</f>
        <v>6.8785472917617048</v>
      </c>
      <c r="J130" s="8" cm="1">
        <f t="array" ref="J130">INDEX(Lists!$O75:$AG75, J$125)</f>
        <v>0.45807635424855597</v>
      </c>
    </row>
    <row r="131" spans="2:10" x14ac:dyDescent="0.15">
      <c r="B131" s="159" t="s">
        <v>2035</v>
      </c>
      <c r="C131" s="8"/>
      <c r="D131" s="8"/>
      <c r="E131" s="712">
        <f ca="1">E129*(1-E130)</f>
        <v>187.34400954940469</v>
      </c>
      <c r="F131" s="8"/>
      <c r="H131" s="8">
        <v>0.05</v>
      </c>
      <c r="I131" s="8" cm="1">
        <f t="array" ref="I131">INDEX(Lists!$O76:$AG76, I$125)</f>
        <v>6.2532248106924584</v>
      </c>
      <c r="J131" s="8" cm="1">
        <f t="array" ref="J131">INDEX(Lists!$O76:$AG76, J$125)</f>
        <v>0.31161184768674</v>
      </c>
    </row>
    <row r="132" spans="2:10" x14ac:dyDescent="0.15">
      <c r="F132" s="8"/>
      <c r="H132" s="8">
        <v>7.4999999999999997E-2</v>
      </c>
      <c r="I132" s="8" cm="1">
        <f t="array" ref="I132">INDEX(Lists!$O77:$AG77, I$125)</f>
        <v>5.6847498279022348</v>
      </c>
      <c r="J132" s="8" cm="1">
        <f t="array" ref="J132">INDEX(Lists!$O77:$AG77, J$125)</f>
        <v>0.22626314621784299</v>
      </c>
    </row>
    <row r="133" spans="2:10" ht="14" x14ac:dyDescent="0.15">
      <c r="B133" s="725" t="s">
        <v>325</v>
      </c>
      <c r="C133" s="8"/>
      <c r="D133" s="8"/>
      <c r="E133" s="713" t="str">
        <f>J124</f>
        <v>G</v>
      </c>
      <c r="F133" s="8"/>
      <c r="H133" s="8">
        <v>0.1</v>
      </c>
      <c r="I133" s="8" cm="1">
        <f t="array" ref="I133">INDEX(Lists!$O78:$AG78, I$125)</f>
        <v>5.1679543890020314</v>
      </c>
      <c r="J133" s="8" cm="1">
        <f t="array" ref="J133">INDEX(Lists!$O78:$AG78, J$125)</f>
        <v>0.199404838098723</v>
      </c>
    </row>
    <row r="134" spans="2:10" x14ac:dyDescent="0.15">
      <c r="B134" s="8" t="s">
        <v>2029</v>
      </c>
      <c r="C134" s="8"/>
      <c r="D134" s="8"/>
      <c r="E134" s="724" cm="1">
        <f t="array" ref="E134">INDEX(Lists!$O$70:$AG$70, D22)</f>
        <v>372.24151234567904</v>
      </c>
      <c r="F134" s="8"/>
      <c r="H134" s="8">
        <v>0.125</v>
      </c>
      <c r="I134" s="8" cm="1">
        <f t="array" ref="I134">INDEX(Lists!$O79:$AG79, I$125)</f>
        <v>4.6981403536382098</v>
      </c>
      <c r="J134" s="8" cm="1">
        <f t="array" ref="J134">INDEX(Lists!$O79:$AG79, J$125)</f>
        <v>0.18974335423924699</v>
      </c>
    </row>
    <row r="135" spans="2:10" x14ac:dyDescent="0.15">
      <c r="B135" s="159" t="s">
        <v>2036</v>
      </c>
      <c r="C135" s="8"/>
      <c r="D135" s="8"/>
      <c r="E135" s="714">
        <f>D26</f>
        <v>0.01</v>
      </c>
      <c r="F135" s="8"/>
      <c r="H135" s="8">
        <v>0.15</v>
      </c>
      <c r="I135" s="8" cm="1">
        <f t="array" ref="I135">INDEX(Lists!$O80:$AG80, I$125)</f>
        <v>4.6462152056678603</v>
      </c>
      <c r="J135" s="8" cm="1">
        <f t="array" ref="J135">INDEX(Lists!$O80:$AG80, J$125)</f>
        <v>0.17335656379930101</v>
      </c>
    </row>
    <row r="136" spans="2:10" x14ac:dyDescent="0.15">
      <c r="B136" s="159" t="s">
        <v>2037</v>
      </c>
      <c r="C136" s="8"/>
      <c r="D136" s="8"/>
      <c r="E136" s="711">
        <f ca="1">FORECAST(E135,OFFSET(H129:H171,MATCH(E135,$J$129:$J$169,-1)-1,0,2),OFFSET($J$129:$J$169,MATCH(E135,$J$129:$J$169,-1)-1,0,2))*$E$134</f>
        <v>364.37882858974024</v>
      </c>
      <c r="F136" s="8"/>
      <c r="H136" s="8">
        <v>0.17499999999999999</v>
      </c>
      <c r="I136" s="8" cm="1">
        <f t="array" ref="I136">INDEX(Lists!$O81:$AG81, I$125)</f>
        <v>4.5854716779047502</v>
      </c>
      <c r="J136" s="8" cm="1">
        <f t="array" ref="J136">INDEX(Lists!$O81:$AG81, J$125)</f>
        <v>0.15775982220592499</v>
      </c>
    </row>
    <row r="137" spans="2:10" x14ac:dyDescent="0.15">
      <c r="B137" s="159" t="s">
        <v>2038</v>
      </c>
      <c r="C137" s="8"/>
      <c r="D137" s="8"/>
      <c r="E137" s="714">
        <f>D24</f>
        <v>0.01</v>
      </c>
      <c r="F137" s="8"/>
      <c r="H137" s="8">
        <v>0.2</v>
      </c>
      <c r="I137" s="8" cm="1">
        <f t="array" ref="I137">INDEX(Lists!$O82:$AG82, I$125)</f>
        <v>4.5291832567477899</v>
      </c>
      <c r="J137" s="8" cm="1">
        <f t="array" ref="J137">INDEX(Lists!$O82:$AG82, J$125)</f>
        <v>0.143342591766663</v>
      </c>
    </row>
    <row r="138" spans="2:10" x14ac:dyDescent="0.15">
      <c r="B138" s="159" t="s">
        <v>2039</v>
      </c>
      <c r="C138" s="8"/>
      <c r="D138" s="8"/>
      <c r="E138" s="711">
        <f ca="1">E136*(1-E137)</f>
        <v>360.73504030384282</v>
      </c>
      <c r="F138" s="8"/>
      <c r="H138" s="8">
        <v>0.22500000000000001</v>
      </c>
      <c r="I138" s="8" cm="1">
        <f t="array" ref="I138">INDEX(Lists!$O83:$AG83, I$125)</f>
        <v>4.4672352916678504</v>
      </c>
      <c r="J138" s="8" cm="1">
        <f t="array" ref="J138">INDEX(Lists!$O83:$AG83, J$125)</f>
        <v>0.131481697129119</v>
      </c>
    </row>
    <row r="139" spans="2:10" x14ac:dyDescent="0.15">
      <c r="B139" s="159" t="s">
        <v>2040</v>
      </c>
      <c r="C139" s="8"/>
      <c r="D139" s="8"/>
      <c r="E139" s="714">
        <f>D25</f>
        <v>20</v>
      </c>
      <c r="F139" s="8"/>
      <c r="H139" s="8">
        <v>0.25</v>
      </c>
      <c r="I139" s="8" cm="1">
        <f t="array" ref="I139">INDEX(Lists!$O84:$AG84, I$125)</f>
        <v>4.3975833527624797</v>
      </c>
      <c r="J139" s="8" cm="1">
        <f t="array" ref="J139">INDEX(Lists!$O84:$AG84, J$125)</f>
        <v>0.12300850697175</v>
      </c>
    </row>
    <row r="140" spans="2:10" x14ac:dyDescent="0.15">
      <c r="B140" s="159"/>
      <c r="C140" s="8"/>
      <c r="D140" s="8"/>
      <c r="E140" s="713"/>
      <c r="F140" s="8"/>
      <c r="H140" s="8">
        <v>0.27500000000000002</v>
      </c>
      <c r="I140" s="8" cm="1">
        <f t="array" ref="I140">INDEX(Lists!$O85:$AG85, I$125)</f>
        <v>4.3467171315930297</v>
      </c>
      <c r="J140" s="8" cm="1">
        <f t="array" ref="J140">INDEX(Lists!$O85:$AG85, J$125)</f>
        <v>0.11756017908953401</v>
      </c>
    </row>
    <row r="141" spans="2:10" ht="14" x14ac:dyDescent="0.15">
      <c r="B141" s="725" t="s">
        <v>2041</v>
      </c>
      <c r="C141" s="8"/>
      <c r="D141" s="8"/>
      <c r="E141" s="713"/>
      <c r="F141" s="8"/>
      <c r="H141" s="8">
        <v>0.3</v>
      </c>
      <c r="I141" s="8" cm="1">
        <f t="array" ref="I141">INDEX(Lists!$O86:$AG86, I$125)</f>
        <v>4.29036805909963</v>
      </c>
      <c r="J141" s="8" cm="1">
        <f t="array" ref="J141">INDEX(Lists!$O86:$AG86, J$125)</f>
        <v>0.11424554563460899</v>
      </c>
    </row>
    <row r="142" spans="2:10" x14ac:dyDescent="0.15">
      <c r="B142" s="159" t="s">
        <v>2042</v>
      </c>
      <c r="C142" s="8"/>
      <c r="D142" s="8"/>
      <c r="E142" s="715">
        <f ca="1">E147*E139/E129</f>
        <v>5.7481018676875863E-2</v>
      </c>
      <c r="F142" s="8"/>
      <c r="H142" s="8">
        <v>0.32500000000000001</v>
      </c>
      <c r="I142" s="8" cm="1">
        <f t="array" ref="I142">INDEX(Lists!$O87:$AG87, I$125)</f>
        <v>4.2414154513826103</v>
      </c>
      <c r="J142" s="8" cm="1">
        <f t="array" ref="J142">INDEX(Lists!$O87:$AG87, J$125)</f>
        <v>0.112243225014154</v>
      </c>
    </row>
    <row r="143" spans="2:10" x14ac:dyDescent="0.15">
      <c r="B143" s="159" t="s">
        <v>2043</v>
      </c>
      <c r="C143" s="8"/>
      <c r="D143" s="8"/>
      <c r="E143" s="712">
        <f ca="1">IF(E142&gt;E130,E138,(E138*E147-E131*(E130-E142))/E147)</f>
        <v>360.73504030384282</v>
      </c>
      <c r="F143" s="8"/>
      <c r="H143" s="8">
        <v>0.35</v>
      </c>
      <c r="I143" s="8" cm="1">
        <f t="array" ref="I143">INDEX(Lists!$O88:$AG88, I$125)</f>
        <v>4.2007075979161401</v>
      </c>
      <c r="J143" s="8" cm="1">
        <f t="array" ref="J143">INDEX(Lists!$O88:$AG88, J$125)</f>
        <v>0.11098219892474</v>
      </c>
    </row>
    <row r="144" spans="2:10" x14ac:dyDescent="0.15">
      <c r="B144" s="159" t="s">
        <v>2044</v>
      </c>
      <c r="C144" s="8"/>
      <c r="D144" s="8"/>
      <c r="E144" s="712">
        <f ca="1">IF(E142&gt;E130,E129*(1-E142),E131)</f>
        <v>185.86872109209955</v>
      </c>
      <c r="F144" s="8"/>
      <c r="H144" s="8">
        <v>0.375</v>
      </c>
      <c r="I144" s="8" cm="1">
        <f t="array" ref="I144">INDEX(Lists!$O89:$AG89, I$125)</f>
        <v>4.15478420653554</v>
      </c>
      <c r="J144" s="8" cm="1">
        <f t="array" ref="J144">INDEX(Lists!$O89:$AG89, J$125)</f>
        <v>0.110104797936914</v>
      </c>
    </row>
    <row r="145" spans="2:10" x14ac:dyDescent="0.15">
      <c r="B145" s="159" t="s">
        <v>2045</v>
      </c>
      <c r="C145" s="8"/>
      <c r="D145" s="8"/>
      <c r="E145" s="714">
        <f>D29</f>
        <v>1.1000000000000001</v>
      </c>
      <c r="F145" s="8"/>
      <c r="H145" s="8">
        <v>0.4</v>
      </c>
      <c r="I145" s="8" cm="1">
        <f t="array" ref="I145">INDEX(Lists!$O90:$AG90, I$125)</f>
        <v>4.1133754787396999</v>
      </c>
      <c r="J145" s="8" cm="1">
        <f t="array" ref="J145">INDEX(Lists!$O90:$AG90, J$125)</f>
        <v>0.109380597657498</v>
      </c>
    </row>
    <row r="146" spans="2:10" x14ac:dyDescent="0.15">
      <c r="B146" s="159" t="s">
        <v>2046</v>
      </c>
      <c r="C146" s="8"/>
      <c r="D146" s="8"/>
      <c r="E146" s="711">
        <f ca="1">E143*E147/E144</f>
        <v>1.1000000000000012</v>
      </c>
      <c r="F146" s="8"/>
      <c r="H146" s="8">
        <v>0.42499999999999999</v>
      </c>
      <c r="I146" s="8" cm="1">
        <f t="array" ref="I146">INDEX(Lists!$O91:$AG91, I$125)</f>
        <v>4.0687658195957397</v>
      </c>
      <c r="J146" s="8" cm="1">
        <f t="array" ref="J146">INDEX(Lists!$O91:$AG91, J$125)</f>
        <v>0.108626824829785</v>
      </c>
    </row>
    <row r="147" spans="2:10" x14ac:dyDescent="0.15">
      <c r="B147" s="159" t="s">
        <v>2047</v>
      </c>
      <c r="C147" s="8"/>
      <c r="D147" s="8"/>
      <c r="E147" s="710">
        <f ca="1">IF($I$118=0,E149,IF(E146=E145,E148,E148-E150*(E146-E145)/E145))</f>
        <v>0.56677497431106005</v>
      </c>
      <c r="F147" s="8"/>
      <c r="H147" s="8">
        <v>0.45</v>
      </c>
      <c r="I147" s="8" cm="1">
        <f t="array" ref="I147">INDEX(Lists!$O92:$AG92, I$125)</f>
        <v>4.0287015211249599</v>
      </c>
      <c r="J147" s="8" cm="1">
        <f t="array" ref="J147">INDEX(Lists!$O92:$AG92, J$125)</f>
        <v>0.107637878541992</v>
      </c>
    </row>
    <row r="148" spans="2:10" x14ac:dyDescent="0.15">
      <c r="B148" s="159" t="s">
        <v>2048</v>
      </c>
      <c r="C148" s="8"/>
      <c r="D148" s="8"/>
      <c r="E148" s="710">
        <f ca="1">E147</f>
        <v>0.56677497431106005</v>
      </c>
      <c r="F148" s="8"/>
      <c r="H148" s="8">
        <v>0.47499999999999998</v>
      </c>
      <c r="I148" s="8" cm="1">
        <f t="array" ref="I148">INDEX(Lists!$O93:$AG93, I$125)</f>
        <v>3.9931095664228899</v>
      </c>
      <c r="J148" s="8" cm="1">
        <f t="array" ref="J148">INDEX(Lists!$O93:$AG93, J$125)</f>
        <v>0.10611916520771</v>
      </c>
    </row>
    <row r="149" spans="2:10" x14ac:dyDescent="0.15">
      <c r="B149" s="159" t="s">
        <v>2049</v>
      </c>
      <c r="C149" s="8"/>
      <c r="D149" s="8"/>
      <c r="E149" s="710">
        <f ca="1">E131*1.1/(E138)</f>
        <v>0.57127361492459339</v>
      </c>
      <c r="F149" s="8"/>
      <c r="H149" s="8">
        <v>0.5</v>
      </c>
      <c r="I149" s="8" cm="1">
        <f t="array" ref="I149">INDEX(Lists!$O94:$AG94, I$125)</f>
        <v>3.9523649734600599</v>
      </c>
      <c r="J149" s="8" cm="1">
        <f t="array" ref="J149">INDEX(Lists!$O94:$AG94, J$125)</f>
        <v>0.103651510932195</v>
      </c>
    </row>
    <row r="150" spans="2:10" x14ac:dyDescent="0.15">
      <c r="B150" s="159" t="s">
        <v>2050</v>
      </c>
      <c r="C150" s="8"/>
      <c r="D150" s="8"/>
      <c r="E150" s="9">
        <v>0.5</v>
      </c>
      <c r="F150" s="8"/>
      <c r="H150" s="8">
        <v>0.52500000000000002</v>
      </c>
      <c r="I150" s="8" cm="1">
        <f t="array" ref="I150">INDEX(Lists!$O95:$AG95, I$125)</f>
        <v>3.91395831438455</v>
      </c>
      <c r="J150" s="8" cm="1">
        <f t="array" ref="J150">INDEX(Lists!$O95:$AG95, J$125)</f>
        <v>9.9794374200657301E-2</v>
      </c>
    </row>
    <row r="151" spans="2:10" x14ac:dyDescent="0.15">
      <c r="B151" s="8"/>
      <c r="C151" s="8"/>
      <c r="D151" s="8"/>
      <c r="E151" s="9"/>
      <c r="F151" s="8"/>
      <c r="H151" s="8">
        <v>0.55000000000000004</v>
      </c>
      <c r="I151" s="8" cm="1">
        <f t="array" ref="I151">INDEX(Lists!$O96:$AG96, I$125)</f>
        <v>3.884386069734</v>
      </c>
      <c r="J151" s="8" cm="1">
        <f t="array" ref="J151">INDEX(Lists!$O96:$AG96, J$125)</f>
        <v>9.4475088002876295E-2</v>
      </c>
    </row>
    <row r="152" spans="2:10" ht="16" x14ac:dyDescent="0.2">
      <c r="B152" s="726" t="s">
        <v>2051</v>
      </c>
      <c r="C152" s="8"/>
      <c r="D152" s="8"/>
      <c r="E152" s="9"/>
      <c r="F152" s="8"/>
      <c r="H152" s="8">
        <v>0.57499999999999996</v>
      </c>
      <c r="I152" s="8" cm="1">
        <f t="array" ref="I152">INDEX(Lists!$O97:$AG97, I$125)</f>
        <v>3.8586755659696599</v>
      </c>
      <c r="J152" s="8" cm="1">
        <f t="array" ref="J152">INDEX(Lists!$O97:$AG97, J$125)</f>
        <v>8.8442203894409294E-2</v>
      </c>
    </row>
    <row r="153" spans="2:10" ht="14" x14ac:dyDescent="0.15">
      <c r="B153" s="507" t="s">
        <v>2052</v>
      </c>
      <c r="F153" s="8"/>
      <c r="H153" s="8">
        <v>0.6</v>
      </c>
      <c r="I153" s="8" cm="1">
        <f t="array" ref="I153">INDEX(Lists!$O98:$AG98, I$125)</f>
        <v>3.8410758420518998</v>
      </c>
      <c r="J153" s="8" cm="1">
        <f t="array" ref="J153">INDEX(Lists!$O98:$AG98, J$125)</f>
        <v>8.29840701969769E-2</v>
      </c>
    </row>
    <row r="154" spans="2:10" x14ac:dyDescent="0.15">
      <c r="B154" s="159" t="s">
        <v>2053</v>
      </c>
      <c r="C154" s="8"/>
      <c r="D154" s="8"/>
      <c r="E154" s="710">
        <f ca="1">IF(E130&gt;E142,0.9899,0.9899-(E142-E130)*E129/($E$126-E129*E130))</f>
        <v>0.9843665709102809</v>
      </c>
      <c r="F154" s="8"/>
      <c r="H154" s="8">
        <v>0.625</v>
      </c>
      <c r="I154" s="8" cm="1">
        <f t="array" ref="I154">INDEX(Lists!$O99:$AG99, I$125)</f>
        <v>3.8210480884896199</v>
      </c>
      <c r="J154" s="8" cm="1">
        <f t="array" ref="J154">INDEX(Lists!$O99:$AG99, J$125)</f>
        <v>7.8945361099266503E-2</v>
      </c>
    </row>
    <row r="155" spans="2:10" x14ac:dyDescent="0.15">
      <c r="B155" s="159" t="s">
        <v>2054</v>
      </c>
      <c r="C155" s="8"/>
      <c r="D155" s="8"/>
      <c r="E155" s="710">
        <f ca="1">E$154-(E$154-E$164)*0.1</f>
        <v>0.91465197488892991</v>
      </c>
      <c r="F155" s="8"/>
      <c r="H155" s="8">
        <v>0.65</v>
      </c>
      <c r="I155" s="8" cm="1">
        <f t="array" ref="I155">INDEX(Lists!$O100:$AG100, I$125)</f>
        <v>3.8018147173531598</v>
      </c>
      <c r="J155" s="8" cm="1">
        <f t="array" ref="J155">INDEX(Lists!$O100:$AG100, J$125)</f>
        <v>7.6332054373787997E-2</v>
      </c>
    </row>
    <row r="156" spans="2:10" x14ac:dyDescent="0.15">
      <c r="B156" s="159" t="s">
        <v>2055</v>
      </c>
      <c r="C156" s="8"/>
      <c r="D156" s="8"/>
      <c r="E156" s="710">
        <f ca="1">E$154-(E$154-E$164)*0.2</f>
        <v>0.8449373788675788</v>
      </c>
      <c r="F156" s="8"/>
      <c r="H156" s="8">
        <v>0.67500000000000004</v>
      </c>
      <c r="I156" s="8" cm="1">
        <f t="array" ref="I156">INDEX(Lists!$O101:$AG101, I$125)</f>
        <v>3.7842505904789401</v>
      </c>
      <c r="J156" s="8" cm="1">
        <f t="array" ref="J156">INDEX(Lists!$O101:$AG101, J$125)</f>
        <v>7.4726783524727003E-2</v>
      </c>
    </row>
    <row r="157" spans="2:10" x14ac:dyDescent="0.15">
      <c r="B157" s="159" t="s">
        <v>2056</v>
      </c>
      <c r="C157" s="8"/>
      <c r="D157" s="8"/>
      <c r="E157" s="710">
        <f ca="1">E$154-(E$154-E$164)*0.3</f>
        <v>0.77522278284622781</v>
      </c>
      <c r="F157" s="8"/>
      <c r="H157" s="8">
        <v>0.7</v>
      </c>
      <c r="I157" s="8" cm="1">
        <f t="array" ref="I157">INDEX(Lists!$O102:$AG102, I$125)</f>
        <v>3.7750481925405501</v>
      </c>
      <c r="J157" s="8" cm="1">
        <f t="array" ref="J157">INDEX(Lists!$O102:$AG102, J$125)</f>
        <v>7.3712328818084594E-2</v>
      </c>
    </row>
    <row r="158" spans="2:10" x14ac:dyDescent="0.15">
      <c r="B158" s="159" t="s">
        <v>2057</v>
      </c>
      <c r="C158" s="8"/>
      <c r="D158" s="8"/>
      <c r="E158" s="710">
        <f ca="1">E$154-(E$154-E$164)*0.4</f>
        <v>0.7055081868248767</v>
      </c>
      <c r="F158" s="8"/>
      <c r="H158" s="8">
        <v>0.72499999999999998</v>
      </c>
      <c r="I158" s="8" cm="1">
        <f t="array" ref="I158">INDEX(Lists!$O103:$AG103, I$125)</f>
        <v>3.7718235746154001</v>
      </c>
      <c r="J158" s="8" cm="1">
        <f t="array" ref="J158">INDEX(Lists!$O103:$AG103, J$125)</f>
        <v>7.3007007016228198E-2</v>
      </c>
    </row>
    <row r="159" spans="2:10" x14ac:dyDescent="0.15">
      <c r="B159" s="159" t="s">
        <v>2058</v>
      </c>
      <c r="C159" s="8"/>
      <c r="D159" s="8"/>
      <c r="E159" s="710">
        <f ca="1">E$154-(E$154-E$164)*0.5</f>
        <v>0.63579359080352571</v>
      </c>
      <c r="F159" s="8"/>
      <c r="H159" s="8">
        <v>0.75</v>
      </c>
      <c r="I159" s="8" cm="1">
        <f t="array" ref="I159">INDEX(Lists!$O104:$AG104, I$125)</f>
        <v>3.7638125928277901</v>
      </c>
      <c r="J159" s="8" cm="1">
        <f t="array" ref="J159">INDEX(Lists!$O104:$AG104, J$125)</f>
        <v>7.2448483947712805E-2</v>
      </c>
    </row>
    <row r="160" spans="2:10" x14ac:dyDescent="0.15">
      <c r="B160" s="159" t="s">
        <v>2059</v>
      </c>
      <c r="C160" s="8"/>
      <c r="D160" s="8"/>
      <c r="E160" s="710">
        <f ca="1">E$154-(E$154-E$164)*0.6</f>
        <v>0.56607899478217472</v>
      </c>
      <c r="F160" s="8"/>
      <c r="H160" s="8">
        <v>0.77500000000000002</v>
      </c>
      <c r="I160" s="8" cm="1">
        <f t="array" ref="I160">INDEX(Lists!$O105:$AG105, I$125)</f>
        <v>3.7568058868799201</v>
      </c>
      <c r="J160" s="8" cm="1">
        <f t="array" ref="J160">INDEX(Lists!$O105:$AG105, J$125)</f>
        <v>7.1949201778767805E-2</v>
      </c>
    </row>
    <row r="161" spans="2:10" x14ac:dyDescent="0.15">
      <c r="B161" s="159" t="s">
        <v>2060</v>
      </c>
      <c r="C161" s="8"/>
      <c r="D161" s="8"/>
      <c r="E161" s="710">
        <f ca="1">E$154-(E$154-E$164)*0.7</f>
        <v>0.49636439876082367</v>
      </c>
      <c r="F161" s="8"/>
      <c r="H161" s="8">
        <v>0.8</v>
      </c>
      <c r="I161" s="8" cm="1">
        <f t="array" ref="I161">INDEX(Lists!$O106:$AG106, I$125)</f>
        <v>3.7484293871235201</v>
      </c>
      <c r="J161" s="8" cm="1">
        <f t="array" ref="J161">INDEX(Lists!$O106:$AG106, J$125)</f>
        <v>7.1462531085526096E-2</v>
      </c>
    </row>
    <row r="162" spans="2:10" x14ac:dyDescent="0.15">
      <c r="B162" s="159" t="s">
        <v>2061</v>
      </c>
      <c r="C162" s="8"/>
      <c r="D162" s="8"/>
      <c r="E162" s="710">
        <f ca="1">E$154-(E$154-E$164)*0.8</f>
        <v>0.42664980273947262</v>
      </c>
      <c r="F162" s="8"/>
      <c r="H162" s="8">
        <v>0.82499999999999996</v>
      </c>
      <c r="I162" s="8" cm="1">
        <f t="array" ref="I162">INDEX(Lists!$O107:$AG107, I$125)</f>
        <v>3.7437726768836099</v>
      </c>
      <c r="J162" s="8" cm="1">
        <f t="array" ref="J162">INDEX(Lists!$O107:$AG107, J$125)</f>
        <v>7.0962562102994398E-2</v>
      </c>
    </row>
    <row r="163" spans="2:10" x14ac:dyDescent="0.15">
      <c r="B163" s="159" t="s">
        <v>2062</v>
      </c>
      <c r="C163" s="8"/>
      <c r="D163" s="8"/>
      <c r="E163" s="710">
        <f ca="1">E$154-(E$154-E$164)*0.9</f>
        <v>0.35693520671812151</v>
      </c>
      <c r="F163" s="8"/>
      <c r="H163" s="8">
        <v>0.85</v>
      </c>
      <c r="I163" s="8" cm="1">
        <f t="array" ref="I163">INDEX(Lists!$O108:$AG108, I$125)</f>
        <v>3.7393224913771599</v>
      </c>
      <c r="J163" s="8" cm="1">
        <f t="array" ref="J163">INDEX(Lists!$O108:$AG108, J$125)</f>
        <v>7.0432511605524495E-2</v>
      </c>
    </row>
    <row r="164" spans="2:10" x14ac:dyDescent="0.15">
      <c r="B164" s="159" t="s">
        <v>2063</v>
      </c>
      <c r="C164" s="8"/>
      <c r="D164" s="8"/>
      <c r="E164" s="710">
        <f ca="1">MAX(E154-E144/($E$126-(E129*E130)),0.01)</f>
        <v>0.28722061069677052</v>
      </c>
      <c r="F164" s="8"/>
      <c r="H164" s="8">
        <v>0.875</v>
      </c>
      <c r="I164" s="8" cm="1">
        <f t="array" ref="I164">INDEX(Lists!$O109:$AG109, I$125)</f>
        <v>3.7350748495257902</v>
      </c>
      <c r="J164" s="8" cm="1">
        <f t="array" ref="J164">INDEX(Lists!$O109:$AG109, J$125)</f>
        <v>6.9854202861120096E-2</v>
      </c>
    </row>
    <row r="165" spans="2:10" x14ac:dyDescent="0.15">
      <c r="B165" s="8"/>
      <c r="C165" s="8"/>
      <c r="D165" s="8"/>
      <c r="E165" s="9"/>
      <c r="F165" s="8"/>
      <c r="H165" s="8">
        <v>0.9</v>
      </c>
      <c r="I165" s="8" cm="1">
        <f t="array" ref="I165">INDEX(Lists!$O110:$AG110, I$125)</f>
        <v>3.73153467505748</v>
      </c>
      <c r="J165" s="8" cm="1">
        <f t="array" ref="J165">INDEX(Lists!$O110:$AG110, J$125)</f>
        <v>6.9164291859371299E-2</v>
      </c>
    </row>
    <row r="166" spans="2:10" ht="15" x14ac:dyDescent="0.15">
      <c r="B166" s="507" t="s">
        <v>2064</v>
      </c>
      <c r="F166" s="8"/>
      <c r="H166" s="8">
        <v>0.92500000000000004</v>
      </c>
      <c r="I166" s="8" cm="1">
        <f t="array" ref="I166">INDEX(Lists!$O111:$AG111, I$125)</f>
        <v>3.72345527500041</v>
      </c>
      <c r="J166" s="8" cm="1">
        <f t="array" ref="J166">INDEX(Lists!$O111:$AG111, J$125)</f>
        <v>6.7894368818130296E-2</v>
      </c>
    </row>
    <row r="167" spans="2:10" x14ac:dyDescent="0.15">
      <c r="B167" s="159" t="s">
        <v>2065</v>
      </c>
      <c r="C167" s="8"/>
      <c r="D167" s="8"/>
      <c r="E167" s="710">
        <f t="shared" ref="E167:E177" ca="1" si="4">FORECAST(E154,OFFSET($I$129:$I$169,MATCH(E154,$H$129:$H$169,1)-1,0,2),OFFSET($H$129:$H$169,MATCH(E154,$H$129:$H$169,1)-1,0,2))</f>
        <v>3.7084713569073831</v>
      </c>
      <c r="F167" s="8"/>
      <c r="H167" s="8">
        <v>0.95</v>
      </c>
      <c r="I167" s="8" cm="1">
        <f t="array" ref="I167">INDEX(Lists!$O112:$AG112, I$125)</f>
        <v>3.7167554549472999</v>
      </c>
      <c r="J167" s="8" cm="1">
        <f t="array" ref="J167">INDEX(Lists!$O112:$AG112, J$125)</f>
        <v>6.22966222123097E-2</v>
      </c>
    </row>
    <row r="168" spans="2:10" x14ac:dyDescent="0.15">
      <c r="B168" s="159" t="s">
        <v>2066</v>
      </c>
      <c r="C168" s="8"/>
      <c r="D168" s="8"/>
      <c r="E168" s="710">
        <f t="shared" ca="1" si="4"/>
        <v>3.726799508387328</v>
      </c>
      <c r="F168" s="8"/>
      <c r="H168" s="8">
        <v>0.97499999999999998</v>
      </c>
      <c r="I168" s="8" cm="1">
        <f t="array" ref="I168">INDEX(Lists!$O113:$AG113, I$125)</f>
        <v>3.7108934642783602</v>
      </c>
      <c r="J168" s="8" cm="1">
        <f t="array" ref="J168">INDEX(Lists!$O113:$AG113, J$125)</f>
        <v>2.7548970022251498E-2</v>
      </c>
    </row>
    <row r="169" spans="2:10" x14ac:dyDescent="0.15">
      <c r="B169" s="159" t="s">
        <v>2067</v>
      </c>
      <c r="C169" s="8"/>
      <c r="D169" s="8"/>
      <c r="E169" s="710">
        <f t="shared" ca="1" si="4"/>
        <v>3.7402236755046854</v>
      </c>
      <c r="F169" s="8"/>
      <c r="H169" s="8">
        <v>0.99</v>
      </c>
      <c r="I169" s="8" cm="1">
        <f t="array" ref="I169">INDEX(Lists!$O114:$AG114, I$125)</f>
        <v>3.7070146049911501</v>
      </c>
      <c r="J169" s="8" cm="1">
        <f t="array" ref="J169">INDEX(Lists!$O114:$AG114, J$125)</f>
        <v>-4.0339312090070301E-2</v>
      </c>
    </row>
    <row r="170" spans="2:10" x14ac:dyDescent="0.15">
      <c r="B170" s="159" t="s">
        <v>2068</v>
      </c>
      <c r="C170" s="8"/>
      <c r="D170" s="8"/>
      <c r="E170" s="710">
        <f t="shared" ca="1" si="4"/>
        <v>3.7567312412616336</v>
      </c>
      <c r="F170" s="8"/>
    </row>
    <row r="171" spans="2:10" x14ac:dyDescent="0.15">
      <c r="B171" s="159" t="s">
        <v>2069</v>
      </c>
      <c r="C171" s="8"/>
      <c r="D171" s="8"/>
      <c r="E171" s="710">
        <f t="shared" ca="1" si="4"/>
        <v>3.7743377206217272</v>
      </c>
      <c r="F171" s="8"/>
    </row>
    <row r="172" spans="2:10" x14ac:dyDescent="0.15">
      <c r="B172" s="159" t="s">
        <v>2070</v>
      </c>
      <c r="C172" s="8"/>
      <c r="D172" s="8"/>
      <c r="E172" s="710">
        <f t="shared" ca="1" si="4"/>
        <v>3.8127442029768481</v>
      </c>
      <c r="F172" s="8"/>
    </row>
    <row r="173" spans="2:10" x14ac:dyDescent="0.15">
      <c r="B173" s="159" t="s">
        <v>2071</v>
      </c>
      <c r="C173" s="8"/>
      <c r="D173" s="8"/>
      <c r="E173" s="710">
        <f t="shared" ca="1" si="4"/>
        <v>3.8678501074990432</v>
      </c>
      <c r="F173" s="8"/>
    </row>
    <row r="174" spans="2:10" x14ac:dyDescent="0.15">
      <c r="B174" s="159" t="s">
        <v>2072</v>
      </c>
      <c r="C174" s="8"/>
      <c r="D174" s="8"/>
      <c r="E174" s="710">
        <f t="shared" ca="1" si="4"/>
        <v>3.9582902171666761</v>
      </c>
      <c r="F174" s="8"/>
    </row>
    <row r="175" spans="2:10" x14ac:dyDescent="0.15">
      <c r="B175" s="159" t="s">
        <v>2073</v>
      </c>
      <c r="C175" s="8"/>
      <c r="D175" s="8"/>
      <c r="E175" s="710">
        <f t="shared" ca="1" si="4"/>
        <v>4.0661218920208544</v>
      </c>
      <c r="F175" s="8"/>
    </row>
    <row r="176" spans="2:10" x14ac:dyDescent="0.15">
      <c r="B176" s="159" t="s">
        <v>2074</v>
      </c>
      <c r="C176" s="8"/>
      <c r="D176" s="8"/>
      <c r="E176" s="710">
        <f t="shared" ca="1" si="4"/>
        <v>4.1879680694192745</v>
      </c>
      <c r="F176" s="8"/>
    </row>
    <row r="177" spans="2:9" x14ac:dyDescent="0.15">
      <c r="B177" s="159" t="s">
        <v>2075</v>
      </c>
      <c r="C177" s="8"/>
      <c r="D177" s="8"/>
      <c r="E177" s="710">
        <f t="shared" ca="1" si="4"/>
        <v>4.3191723284703913</v>
      </c>
      <c r="F177" s="8"/>
      <c r="G177" s="8"/>
      <c r="H177" s="8"/>
      <c r="I177" s="8"/>
    </row>
    <row r="178" spans="2:9" x14ac:dyDescent="0.15">
      <c r="B178" s="8"/>
      <c r="C178" s="8"/>
      <c r="D178" s="8"/>
      <c r="E178" s="9"/>
      <c r="F178" s="8"/>
      <c r="G178" s="8"/>
      <c r="H178" s="8"/>
      <c r="I178" s="8"/>
    </row>
    <row r="179" spans="2:9" ht="16" x14ac:dyDescent="0.2">
      <c r="B179" s="726" t="s">
        <v>2076</v>
      </c>
      <c r="C179" s="8"/>
      <c r="D179" s="8"/>
      <c r="E179" s="9"/>
      <c r="F179" s="8"/>
      <c r="G179" s="8"/>
      <c r="H179" s="8"/>
      <c r="I179" s="8"/>
    </row>
    <row r="180" spans="2:9" ht="14" x14ac:dyDescent="0.15">
      <c r="B180" s="507" t="s">
        <v>2052</v>
      </c>
      <c r="C180" s="8"/>
      <c r="D180" s="8"/>
      <c r="E180" s="9"/>
      <c r="F180" s="8"/>
      <c r="G180" s="8"/>
      <c r="H180" s="8"/>
      <c r="I180" s="8"/>
    </row>
    <row r="181" spans="2:9" x14ac:dyDescent="0.15">
      <c r="B181" s="159" t="s">
        <v>2077</v>
      </c>
      <c r="C181" s="8"/>
      <c r="D181" s="8"/>
      <c r="E181" s="710">
        <f ca="1">IF(E142&gt;E130,0.01001,(E130-E142)*E129/(($E$134-E136*E137)*E147))</f>
        <v>1.001E-2</v>
      </c>
      <c r="F181" s="8"/>
      <c r="G181" s="8"/>
      <c r="H181" s="8"/>
      <c r="I181" s="8"/>
    </row>
    <row r="182" spans="2:9" x14ac:dyDescent="0.15">
      <c r="B182" s="159" t="s">
        <v>2078</v>
      </c>
      <c r="C182" s="8"/>
      <c r="D182" s="8"/>
      <c r="E182" s="710">
        <f ca="1">E$181-(E$181-E$191)*0.1</f>
        <v>9.897987808790111E-2</v>
      </c>
      <c r="F182" s="8"/>
      <c r="G182" s="8"/>
      <c r="H182" s="8"/>
      <c r="I182" s="8"/>
    </row>
    <row r="183" spans="2:9" x14ac:dyDescent="0.15">
      <c r="B183" s="159" t="s">
        <v>2079</v>
      </c>
      <c r="C183" s="8"/>
      <c r="D183" s="8"/>
      <c r="E183" s="710">
        <f ca="1">E$181-(E$181-E$191)*0.2</f>
        <v>0.1879497561758022</v>
      </c>
      <c r="F183" s="8"/>
      <c r="G183" s="8"/>
      <c r="H183" s="8"/>
      <c r="I183" s="8"/>
    </row>
    <row r="184" spans="2:9" x14ac:dyDescent="0.15">
      <c r="B184" s="159" t="s">
        <v>2080</v>
      </c>
      <c r="C184" s="8"/>
      <c r="D184" s="8"/>
      <c r="E184" s="710">
        <f ca="1">E$181-(E$181-E$191)*0.3</f>
        <v>0.27691963426370331</v>
      </c>
      <c r="F184" s="8"/>
      <c r="G184" s="8"/>
      <c r="H184" s="8"/>
      <c r="I184" s="8"/>
    </row>
    <row r="185" spans="2:9" x14ac:dyDescent="0.15">
      <c r="B185" s="159" t="s">
        <v>2081</v>
      </c>
      <c r="C185" s="8"/>
      <c r="D185" s="8"/>
      <c r="E185" s="710">
        <f ca="1">E$181-(E$181-E$191)*0.4</f>
        <v>0.36588951235160444</v>
      </c>
      <c r="F185" s="8"/>
      <c r="G185" s="8"/>
      <c r="H185" s="8"/>
      <c r="I185" s="8"/>
    </row>
    <row r="186" spans="2:9" x14ac:dyDescent="0.15">
      <c r="B186" s="159" t="s">
        <v>2082</v>
      </c>
      <c r="C186" s="8"/>
      <c r="D186" s="8"/>
      <c r="E186" s="710">
        <f ca="1">E$181-(E$181-E$191)*0.5</f>
        <v>0.45485939043950552</v>
      </c>
      <c r="F186" s="8"/>
      <c r="G186" s="8"/>
      <c r="H186" s="8"/>
      <c r="I186" s="8"/>
    </row>
    <row r="187" spans="2:9" x14ac:dyDescent="0.15">
      <c r="B187" s="159" t="s">
        <v>2083</v>
      </c>
      <c r="C187" s="8"/>
      <c r="D187" s="8"/>
      <c r="E187" s="710">
        <f ca="1">E$181-(E$181-E$191)*0.6</f>
        <v>0.54382926852740654</v>
      </c>
      <c r="F187" s="8"/>
      <c r="G187" s="8"/>
      <c r="H187" s="8"/>
      <c r="I187" s="8"/>
    </row>
    <row r="188" spans="2:9" x14ac:dyDescent="0.15">
      <c r="B188" s="159" t="s">
        <v>2084</v>
      </c>
      <c r="C188" s="8"/>
      <c r="D188" s="8"/>
      <c r="E188" s="710">
        <f ca="1">E$181-(E$181-E$191)*0.7</f>
        <v>0.63279914661530767</v>
      </c>
      <c r="F188" s="8"/>
      <c r="G188" s="8"/>
      <c r="H188" s="8"/>
      <c r="I188" s="8"/>
    </row>
    <row r="189" spans="2:9" x14ac:dyDescent="0.15">
      <c r="B189" s="159" t="s">
        <v>2085</v>
      </c>
      <c r="C189" s="8"/>
      <c r="D189" s="8"/>
      <c r="E189" s="710">
        <f ca="1">E$181-(E$181-E$191)*0.8</f>
        <v>0.72176902470320881</v>
      </c>
      <c r="F189" s="8"/>
      <c r="G189" s="8"/>
      <c r="H189" s="8"/>
      <c r="I189" s="8"/>
    </row>
    <row r="190" spans="2:9" x14ac:dyDescent="0.15">
      <c r="B190" s="159" t="s">
        <v>2086</v>
      </c>
      <c r="C190" s="8"/>
      <c r="D190" s="8"/>
      <c r="E190" s="710">
        <f ca="1">E$181-(E$181-E$191)*0.9</f>
        <v>0.81073890279110983</v>
      </c>
      <c r="F190" s="8"/>
      <c r="G190" s="8"/>
      <c r="H190" s="8"/>
      <c r="I190" s="8"/>
    </row>
    <row r="191" spans="2:9" x14ac:dyDescent="0.15">
      <c r="B191" s="159" t="s">
        <v>2087</v>
      </c>
      <c r="C191" s="8"/>
      <c r="D191" s="8"/>
      <c r="E191" s="710">
        <f ca="1">E181+E144/($E$134-E136*E137)/E147</f>
        <v>0.89970878087901096</v>
      </c>
      <c r="F191" s="8"/>
      <c r="G191" s="8"/>
      <c r="H191" s="8"/>
      <c r="I191" s="8"/>
    </row>
    <row r="192" spans="2:9" x14ac:dyDescent="0.15">
      <c r="B192" s="159"/>
      <c r="C192" s="8"/>
      <c r="D192" s="8"/>
      <c r="E192" s="710"/>
      <c r="F192" s="8"/>
      <c r="G192" s="8"/>
      <c r="H192" s="8"/>
      <c r="I192" s="8"/>
    </row>
    <row r="193" spans="2:9" ht="15" x14ac:dyDescent="0.15">
      <c r="B193" s="507" t="s">
        <v>2064</v>
      </c>
      <c r="C193" s="8"/>
      <c r="D193" s="8"/>
      <c r="E193" s="9"/>
      <c r="F193" s="8"/>
      <c r="G193" s="8"/>
      <c r="H193" s="8"/>
      <c r="I193" s="8"/>
    </row>
    <row r="194" spans="2:9" x14ac:dyDescent="0.15">
      <c r="B194" s="159" t="s">
        <v>2088</v>
      </c>
      <c r="C194" s="8"/>
      <c r="D194" s="8"/>
      <c r="E194" s="710">
        <f t="shared" ref="E194:E204" ca="1" si="5">FORECAST(E181,OFFSET($J$129:$J$169,MATCH(E181,$H$129:$H$169,1)-1,0,2),OFFSET($H$129:$H$169,MATCH(E181,$H$129:$H$169,1)-1,0,2))</f>
        <v>0.61996345912145823</v>
      </c>
      <c r="F194" s="8"/>
      <c r="G194" s="8"/>
      <c r="H194" s="8"/>
      <c r="I194" s="8"/>
    </row>
    <row r="195" spans="2:9" x14ac:dyDescent="0.15">
      <c r="B195" s="159" t="s">
        <v>2089</v>
      </c>
      <c r="C195" s="8"/>
      <c r="D195" s="8"/>
      <c r="E195" s="710">
        <f t="shared" ca="1" si="5"/>
        <v>0.20050078804409174</v>
      </c>
      <c r="F195" s="8"/>
      <c r="G195" s="8"/>
      <c r="H195" s="8"/>
      <c r="I195" s="8"/>
    </row>
    <row r="196" spans="2:9" x14ac:dyDescent="0.15">
      <c r="B196" s="159" t="s">
        <v>2090</v>
      </c>
      <c r="C196" s="8"/>
      <c r="D196" s="8"/>
      <c r="E196" s="710">
        <f t="shared" ca="1" si="5"/>
        <v>0.1502918374491731</v>
      </c>
      <c r="F196" s="8"/>
      <c r="G196" s="8"/>
      <c r="H196" s="8"/>
      <c r="I196" s="8"/>
    </row>
    <row r="197" spans="2:9" x14ac:dyDescent="0.15">
      <c r="B197" s="159" t="s">
        <v>2091</v>
      </c>
      <c r="C197" s="8"/>
      <c r="D197" s="8"/>
      <c r="E197" s="710">
        <f t="shared" ca="1" si="5"/>
        <v>0.11730566373146635</v>
      </c>
      <c r="F197" s="8"/>
      <c r="G197" s="8"/>
      <c r="H197" s="8"/>
      <c r="I197" s="8"/>
    </row>
    <row r="198" spans="2:9" x14ac:dyDescent="0.15">
      <c r="B198" s="159" t="s">
        <v>2092</v>
      </c>
      <c r="C198" s="8"/>
      <c r="D198" s="8"/>
      <c r="E198" s="710">
        <f t="shared" ca="1" si="5"/>
        <v>0.11042453997140517</v>
      </c>
      <c r="F198" s="8"/>
      <c r="G198" s="8"/>
      <c r="H198" s="8"/>
      <c r="I198" s="8"/>
    </row>
    <row r="199" spans="2:9" x14ac:dyDescent="0.15">
      <c r="B199" s="159" t="s">
        <v>2093</v>
      </c>
      <c r="C199" s="8"/>
      <c r="D199" s="8"/>
      <c r="E199" s="710">
        <f t="shared" ca="1" si="5"/>
        <v>0.10734267769971362</v>
      </c>
      <c r="F199" s="8"/>
      <c r="G199" s="8"/>
      <c r="H199" s="8"/>
      <c r="I199" s="8"/>
    </row>
    <row r="200" spans="2:9" x14ac:dyDescent="0.15">
      <c r="B200" s="159" t="s">
        <v>2094</v>
      </c>
      <c r="C200" s="8"/>
      <c r="D200" s="8"/>
      <c r="E200" s="710">
        <f t="shared" ca="1" si="5"/>
        <v>9.5788043472971485E-2</v>
      </c>
      <c r="F200" s="8"/>
      <c r="G200" s="8"/>
      <c r="H200" s="8"/>
      <c r="I200" s="8"/>
    </row>
    <row r="201" spans="2:9" x14ac:dyDescent="0.15">
      <c r="B201" s="159" t="s">
        <v>2095</v>
      </c>
      <c r="C201" s="8"/>
      <c r="D201" s="8"/>
      <c r="E201" s="710">
        <f t="shared" ca="1" si="5"/>
        <v>7.813009860715546E-2</v>
      </c>
      <c r="F201" s="8"/>
      <c r="G201" s="8"/>
      <c r="H201" s="8"/>
      <c r="I201" s="8"/>
    </row>
    <row r="202" spans="2:9" x14ac:dyDescent="0.15">
      <c r="B202" s="159" t="s">
        <v>2096</v>
      </c>
      <c r="C202" s="8"/>
      <c r="D202" s="8"/>
      <c r="E202" s="710">
        <f t="shared" ca="1" si="5"/>
        <v>7.3098162108951634E-2</v>
      </c>
      <c r="F202" s="8"/>
      <c r="G202" s="8"/>
      <c r="H202" s="8"/>
      <c r="I202" s="8"/>
    </row>
    <row r="203" spans="2:9" x14ac:dyDescent="0.15">
      <c r="B203" s="159" t="s">
        <v>2097</v>
      </c>
      <c r="C203" s="8"/>
      <c r="D203" s="8"/>
      <c r="E203" s="710">
        <f t="shared" ca="1" si="5"/>
        <v>7.124776635344697E-2</v>
      </c>
      <c r="F203" s="8"/>
      <c r="G203" s="8"/>
      <c r="H203" s="8"/>
      <c r="I203" s="8"/>
    </row>
    <row r="204" spans="2:9" x14ac:dyDescent="0.15">
      <c r="B204" s="159" t="s">
        <v>2098</v>
      </c>
      <c r="C204" s="8"/>
      <c r="D204" s="8"/>
      <c r="E204" s="710">
        <f t="shared" ca="1" si="5"/>
        <v>6.9172328470390898E-2</v>
      </c>
      <c r="F204" s="8"/>
      <c r="G204" s="8"/>
      <c r="H204" s="8"/>
      <c r="I204" s="8"/>
    </row>
    <row r="205" spans="2:9" x14ac:dyDescent="0.15">
      <c r="B205" s="8"/>
      <c r="C205" s="8"/>
      <c r="D205" s="8"/>
      <c r="E205" s="9"/>
      <c r="F205" s="8"/>
      <c r="G205" s="8"/>
      <c r="H205" s="8"/>
      <c r="I205" s="8"/>
    </row>
    <row r="206" spans="2:9" ht="16" x14ac:dyDescent="0.2">
      <c r="B206" s="726" t="s">
        <v>2099</v>
      </c>
      <c r="G206" s="8"/>
      <c r="H206" s="8"/>
      <c r="I206" s="8"/>
    </row>
    <row r="207" spans="2:9" ht="15" x14ac:dyDescent="0.15">
      <c r="B207" s="507" t="s">
        <v>2064</v>
      </c>
      <c r="G207" s="8"/>
      <c r="H207" s="8"/>
      <c r="I207" s="8"/>
    </row>
    <row r="208" spans="2:9" x14ac:dyDescent="0.15">
      <c r="B208" s="8" t="s">
        <v>2100</v>
      </c>
      <c r="C208" s="8"/>
      <c r="D208" s="8"/>
      <c r="E208" s="711">
        <f t="shared" ref="E208:E218" ca="1" si="6">E167-E194</f>
        <v>3.0885078977859246</v>
      </c>
      <c r="F208" s="8"/>
      <c r="G208" s="8"/>
      <c r="H208" s="8"/>
      <c r="I208" s="8"/>
    </row>
    <row r="209" spans="2:9" x14ac:dyDescent="0.15">
      <c r="B209" s="159" t="s">
        <v>2101</v>
      </c>
      <c r="C209" s="8"/>
      <c r="D209" s="8"/>
      <c r="E209" s="711">
        <f t="shared" ca="1" si="6"/>
        <v>3.5262987203432363</v>
      </c>
      <c r="F209" s="8"/>
      <c r="G209" s="8"/>
      <c r="H209" s="8"/>
      <c r="I209" s="8"/>
    </row>
    <row r="210" spans="2:9" x14ac:dyDescent="0.15">
      <c r="B210" s="159" t="s">
        <v>2102</v>
      </c>
      <c r="C210" s="8"/>
      <c r="D210" s="8"/>
      <c r="E210" s="711">
        <f t="shared" ca="1" si="6"/>
        <v>3.5899318380555121</v>
      </c>
      <c r="F210" s="8"/>
      <c r="G210" s="8"/>
      <c r="H210" s="8"/>
      <c r="I210" s="8"/>
    </row>
    <row r="211" spans="2:9" x14ac:dyDescent="0.15">
      <c r="B211" s="159" t="s">
        <v>2103</v>
      </c>
      <c r="C211" s="8"/>
      <c r="D211" s="8"/>
      <c r="E211" s="711">
        <f t="shared" ca="1" si="6"/>
        <v>3.6394255775301674</v>
      </c>
      <c r="F211" s="8"/>
      <c r="G211" s="8"/>
      <c r="H211" s="8"/>
      <c r="I211" s="8"/>
    </row>
    <row r="212" spans="2:9" x14ac:dyDescent="0.15">
      <c r="B212" s="159" t="s">
        <v>2104</v>
      </c>
      <c r="C212" s="8"/>
      <c r="D212" s="8"/>
      <c r="E212" s="711">
        <f t="shared" ca="1" si="6"/>
        <v>3.6639131806503222</v>
      </c>
      <c r="F212" s="8"/>
      <c r="G212" s="8"/>
      <c r="H212" s="8"/>
      <c r="I212" s="8"/>
    </row>
    <row r="213" spans="2:9" x14ac:dyDescent="0.15">
      <c r="B213" s="159" t="s">
        <v>2105</v>
      </c>
      <c r="C213" s="8"/>
      <c r="D213" s="8"/>
      <c r="E213" s="711">
        <f t="shared" ca="1" si="6"/>
        <v>3.7054015252771344</v>
      </c>
      <c r="F213" s="8"/>
      <c r="G213" s="8"/>
      <c r="H213" s="8"/>
      <c r="I213" s="8"/>
    </row>
    <row r="214" spans="2:9" x14ac:dyDescent="0.15">
      <c r="B214" s="159" t="s">
        <v>2106</v>
      </c>
      <c r="C214" s="8"/>
      <c r="D214" s="8"/>
      <c r="E214" s="711">
        <f t="shared" ca="1" si="6"/>
        <v>3.7720620640260716</v>
      </c>
      <c r="F214" s="8"/>
      <c r="G214" s="8"/>
      <c r="H214" s="8"/>
      <c r="I214" s="8"/>
    </row>
    <row r="215" spans="2:9" x14ac:dyDescent="0.15">
      <c r="B215" s="159" t="s">
        <v>2107</v>
      </c>
      <c r="C215" s="8"/>
      <c r="D215" s="8"/>
      <c r="E215" s="711">
        <f t="shared" ca="1" si="6"/>
        <v>3.8801601185595205</v>
      </c>
      <c r="F215" s="8"/>
      <c r="G215" s="8"/>
      <c r="H215" s="8"/>
      <c r="I215" s="8"/>
    </row>
    <row r="216" spans="2:9" x14ac:dyDescent="0.15">
      <c r="B216" s="159" t="s">
        <v>2108</v>
      </c>
      <c r="C216" s="8"/>
      <c r="D216" s="8"/>
      <c r="E216" s="711">
        <f t="shared" ca="1" si="6"/>
        <v>3.9930237299119029</v>
      </c>
      <c r="F216" s="8"/>
      <c r="G216" s="8"/>
      <c r="H216" s="8"/>
      <c r="I216" s="8"/>
    </row>
    <row r="217" spans="2:9" x14ac:dyDescent="0.15">
      <c r="B217" s="159" t="s">
        <v>2109</v>
      </c>
      <c r="C217" s="8"/>
      <c r="D217" s="8"/>
      <c r="E217" s="711">
        <f t="shared" ca="1" si="6"/>
        <v>4.1167203030658275</v>
      </c>
      <c r="F217" s="8"/>
      <c r="G217" s="8"/>
      <c r="H217" s="8"/>
      <c r="I217" s="8"/>
    </row>
    <row r="218" spans="2:9" x14ac:dyDescent="0.15">
      <c r="B218" s="159" t="s">
        <v>2110</v>
      </c>
      <c r="C218" s="8"/>
      <c r="D218" s="8"/>
      <c r="E218" s="711">
        <f t="shared" ca="1" si="6"/>
        <v>4.25</v>
      </c>
      <c r="F218" s="8"/>
      <c r="G218" s="8"/>
      <c r="H218" s="8"/>
      <c r="I218" s="8"/>
    </row>
    <row r="219" spans="2:9" x14ac:dyDescent="0.15">
      <c r="B219" s="159"/>
      <c r="C219" s="8"/>
      <c r="D219" s="8"/>
      <c r="E219" s="9"/>
      <c r="F219" s="562"/>
    </row>
    <row r="220" spans="2:9" ht="14" x14ac:dyDescent="0.15">
      <c r="B220" s="507" t="s">
        <v>2111</v>
      </c>
      <c r="C220" s="8"/>
      <c r="D220" s="8"/>
      <c r="E220" s="9"/>
    </row>
    <row r="221" spans="2:9" x14ac:dyDescent="0.15">
      <c r="B221" s="159" t="s">
        <v>2112</v>
      </c>
      <c r="C221" s="8"/>
      <c r="D221" s="8"/>
      <c r="E221" s="712">
        <f ca="1">MIN(E144,E143*E147)/(1+E147)</f>
        <v>118.63140791729168</v>
      </c>
    </row>
    <row r="222" spans="2:9" x14ac:dyDescent="0.15">
      <c r="B222" s="159" t="s">
        <v>2113</v>
      </c>
      <c r="C222" s="8"/>
      <c r="D222" s="8"/>
      <c r="E222" s="712">
        <f ca="1">E221*E213</f>
        <v>439.5769998425065</v>
      </c>
    </row>
  </sheetData>
  <mergeCells count="21">
    <mergeCell ref="B2:M2"/>
    <mergeCell ref="B3:M3"/>
    <mergeCell ref="B4:E4"/>
    <mergeCell ref="G4:M4"/>
    <mergeCell ref="C9:D9"/>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647700</xdr:colOff>
                    <xdr:row>35</xdr:row>
                    <xdr:rowOff>38100</xdr:rowOff>
                  </from>
                  <to>
                    <xdr:col>2</xdr:col>
                    <xdr:colOff>1066800</xdr:colOff>
                    <xdr:row>39</xdr:row>
                    <xdr:rowOff>38100</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1447800</xdr:colOff>
                    <xdr:row>107</xdr:row>
                    <xdr:rowOff>152400</xdr:rowOff>
                  </from>
                  <to>
                    <xdr:col>4</xdr:col>
                    <xdr:colOff>838200</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914400</xdr:colOff>
                    <xdr:row>80</xdr:row>
                    <xdr:rowOff>114300</xdr:rowOff>
                  </from>
                  <to>
                    <xdr:col>7</xdr:col>
                    <xdr:colOff>1181100</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6F1B7-6E51-40DF-88DE-85FE6938C996}">
  <sheetPr codeName="Sheet7">
    <tabColor theme="2" tint="-0.249977111117893"/>
  </sheetPr>
  <dimension ref="B1:Y104"/>
  <sheetViews>
    <sheetView workbookViewId="0">
      <pane ySplit="6" topLeftCell="A7" activePane="bottomLeft" state="frozen"/>
      <selection pane="bottomLeft" activeCell="Q23" sqref="Q23"/>
    </sheetView>
  </sheetViews>
  <sheetFormatPr baseColWidth="10" defaultColWidth="8.83203125" defaultRowHeight="13" x14ac:dyDescent="0.15"/>
  <cols>
    <col min="1" max="1" width="4.5" customWidth="1"/>
    <col min="2" max="2" width="20.5" customWidth="1"/>
    <col min="3" max="3" width="16.5" customWidth="1"/>
    <col min="4" max="4" width="10.83203125" customWidth="1"/>
    <col min="5" max="6" width="10.5" customWidth="1"/>
    <col min="12" max="12" width="7" bestFit="1" customWidth="1"/>
    <col min="13" max="13" width="8" bestFit="1" customWidth="1"/>
    <col min="14" max="15" width="18.1640625" bestFit="1" customWidth="1"/>
  </cols>
  <sheetData>
    <row r="1" spans="2:25" ht="19" thickBot="1" x14ac:dyDescent="0.25">
      <c r="B1" s="1346" t="s">
        <v>2114</v>
      </c>
      <c r="C1" s="1346"/>
      <c r="D1" s="1346"/>
      <c r="E1" s="1346"/>
      <c r="F1" s="1346"/>
      <c r="G1" s="1346"/>
      <c r="H1" s="1346"/>
      <c r="I1" s="1346"/>
      <c r="J1" s="1346"/>
      <c r="K1" s="1346"/>
      <c r="L1" s="1346"/>
      <c r="M1" s="1357"/>
      <c r="N1" s="1260" t="s">
        <v>9</v>
      </c>
      <c r="O1" s="1261"/>
    </row>
    <row r="2" spans="2:25" ht="17" thickBot="1" x14ac:dyDescent="0.25">
      <c r="B2" s="1270" t="str">
        <f>Dashboard!$D$34&amp;" with "&amp;Dashboard!$D$13&amp;" Electrodes"</f>
        <v>EV with NMC532-G (Power) Electrodes</v>
      </c>
      <c r="C2" s="1271"/>
      <c r="D2" s="1271"/>
      <c r="E2" s="1271"/>
      <c r="F2" s="1271"/>
      <c r="G2" s="1271"/>
      <c r="H2" s="1271"/>
      <c r="I2" s="1271"/>
      <c r="J2" s="1271"/>
      <c r="K2" s="1271"/>
      <c r="L2" s="1271"/>
      <c r="M2" s="1272"/>
      <c r="N2" s="987" t="s">
        <v>8</v>
      </c>
      <c r="O2" s="988" t="s">
        <v>10</v>
      </c>
    </row>
    <row r="3" spans="2:25" ht="16" x14ac:dyDescent="0.2">
      <c r="B3" s="1291" t="s">
        <v>132</v>
      </c>
      <c r="C3" s="1291"/>
      <c r="D3" s="1291"/>
      <c r="E3" s="1291"/>
      <c r="F3" s="1291"/>
      <c r="G3" s="1291"/>
      <c r="H3" s="1291"/>
      <c r="I3" s="1291"/>
      <c r="J3" s="1291"/>
      <c r="K3" s="1291"/>
      <c r="L3" s="1291"/>
      <c r="M3" s="1292"/>
      <c r="N3" s="989" t="s">
        <v>15</v>
      </c>
      <c r="O3" s="988" t="s">
        <v>16</v>
      </c>
    </row>
    <row r="4" spans="2:25" x14ac:dyDescent="0.15">
      <c r="B4" s="1293" t="s">
        <v>298</v>
      </c>
      <c r="C4" s="1293"/>
      <c r="D4" s="1293"/>
      <c r="E4" s="1293"/>
      <c r="F4" s="181"/>
      <c r="G4" s="1294" t="s">
        <v>12</v>
      </c>
      <c r="H4" s="1294"/>
      <c r="I4" s="1294"/>
      <c r="J4" s="1294"/>
      <c r="K4" s="1294"/>
      <c r="L4" s="1294"/>
      <c r="M4" s="1295"/>
      <c r="N4" s="986" t="s">
        <v>17</v>
      </c>
      <c r="O4" s="988" t="s">
        <v>18</v>
      </c>
    </row>
    <row r="5" spans="2:25" ht="14" thickBot="1" x14ac:dyDescent="0.2">
      <c r="B5" s="1296" t="s">
        <v>13</v>
      </c>
      <c r="C5" s="1296"/>
      <c r="D5" s="1296"/>
      <c r="E5" s="1296"/>
      <c r="F5" s="185"/>
      <c r="G5" s="1297" t="s">
        <v>14</v>
      </c>
      <c r="H5" s="1297"/>
      <c r="I5" s="1297"/>
      <c r="J5" s="1297"/>
      <c r="K5" s="1297"/>
      <c r="L5" s="1297"/>
      <c r="M5" s="1298"/>
      <c r="N5" s="986" t="s">
        <v>20</v>
      </c>
      <c r="O5" s="992" t="s">
        <v>21</v>
      </c>
    </row>
    <row r="6" spans="2:25" ht="14" thickBot="1" x14ac:dyDescent="0.2">
      <c r="N6" s="990" t="s">
        <v>25</v>
      </c>
      <c r="O6" s="991" t="s">
        <v>26</v>
      </c>
    </row>
    <row r="7" spans="2:25" ht="14" x14ac:dyDescent="0.15">
      <c r="B7" s="159" t="s">
        <v>2115</v>
      </c>
      <c r="C7" s="159"/>
      <c r="D7" s="159"/>
      <c r="E7" s="159"/>
      <c r="F7" s="159"/>
      <c r="G7" s="159"/>
      <c r="H7" s="159"/>
      <c r="I7" s="159"/>
      <c r="J7" s="159"/>
      <c r="K7" s="159"/>
      <c r="L7" s="1189"/>
      <c r="M7" s="1189"/>
      <c r="N7" s="1189"/>
      <c r="O7" s="1189"/>
      <c r="P7" s="1189"/>
      <c r="Q7" s="1189"/>
      <c r="R7" s="1189"/>
      <c r="S7" s="1189"/>
      <c r="T7" s="1189"/>
      <c r="U7" s="1189"/>
      <c r="V7" s="1189"/>
      <c r="W7" s="1189"/>
      <c r="X7" s="1189"/>
      <c r="Y7" s="1189"/>
    </row>
    <row r="8" spans="2:25" ht="14" x14ac:dyDescent="0.15">
      <c r="B8" s="159" t="s">
        <v>2116</v>
      </c>
      <c r="C8" s="159"/>
      <c r="D8" s="159"/>
      <c r="E8" s="159"/>
      <c r="F8" s="159"/>
      <c r="G8" s="159"/>
      <c r="H8" s="159"/>
      <c r="I8" s="159"/>
      <c r="J8" s="159"/>
      <c r="K8" s="159"/>
      <c r="L8" s="1189"/>
      <c r="M8" s="1189"/>
      <c r="N8" s="1189"/>
      <c r="O8" s="1189"/>
      <c r="P8" s="1189"/>
      <c r="Q8" s="1189"/>
      <c r="R8" s="1189"/>
      <c r="S8" s="1189"/>
      <c r="T8" s="1189"/>
      <c r="U8" s="1189"/>
      <c r="V8" s="1189"/>
      <c r="W8" s="1189"/>
      <c r="X8" s="1189"/>
      <c r="Y8" s="1189"/>
    </row>
    <row r="9" spans="2:25" ht="18" x14ac:dyDescent="0.2">
      <c r="B9" s="1226" t="s">
        <v>2433</v>
      </c>
      <c r="C9" s="159"/>
      <c r="D9" s="1190"/>
      <c r="E9" s="159"/>
      <c r="F9" s="159"/>
      <c r="G9" s="159"/>
      <c r="H9" s="159"/>
      <c r="I9" s="159"/>
      <c r="J9" s="159"/>
      <c r="K9" s="159"/>
      <c r="L9" s="1189"/>
    </row>
    <row r="10" spans="2:25" ht="15" thickBot="1" x14ac:dyDescent="0.2">
      <c r="B10" s="701"/>
      <c r="C10" s="159"/>
      <c r="D10" s="1190"/>
      <c r="E10" s="159"/>
      <c r="F10" s="159"/>
      <c r="G10" s="159"/>
      <c r="H10" s="159"/>
      <c r="I10" s="159"/>
      <c r="J10" s="159"/>
      <c r="K10" s="159"/>
      <c r="L10" s="1189"/>
    </row>
    <row r="11" spans="2:25" ht="21" thickBot="1" x14ac:dyDescent="0.25">
      <c r="B11" s="1262" t="s">
        <v>2117</v>
      </c>
      <c r="C11" s="1263"/>
      <c r="D11" s="1263"/>
      <c r="E11" s="1263"/>
      <c r="F11" s="1263"/>
      <c r="G11" s="1263"/>
      <c r="H11" s="1263"/>
      <c r="I11" s="1263"/>
      <c r="J11" s="1263"/>
      <c r="K11" s="1263"/>
      <c r="L11" s="1263"/>
      <c r="M11" s="1264"/>
    </row>
    <row r="12" spans="2:25" ht="16" x14ac:dyDescent="0.2">
      <c r="B12" s="726"/>
      <c r="C12" s="159"/>
      <c r="D12" s="1190"/>
      <c r="E12" s="159"/>
      <c r="F12" s="159"/>
      <c r="G12" s="159"/>
      <c r="H12" s="159"/>
      <c r="I12" s="159"/>
      <c r="J12" s="159"/>
      <c r="K12" s="159"/>
      <c r="L12" s="1189"/>
    </row>
    <row r="13" spans="2:25" ht="14" x14ac:dyDescent="0.15">
      <c r="B13" s="159"/>
      <c r="C13" s="159"/>
      <c r="E13" s="701" t="s">
        <v>2118</v>
      </c>
      <c r="F13" s="701" t="s">
        <v>2118</v>
      </c>
      <c r="G13" s="159"/>
      <c r="H13" s="159"/>
      <c r="I13" s="159"/>
      <c r="J13" s="159"/>
      <c r="K13" s="159"/>
      <c r="L13" s="1189"/>
    </row>
    <row r="14" spans="2:25" ht="26.75" customHeight="1" x14ac:dyDescent="0.15">
      <c r="B14" s="1198" t="s">
        <v>2119</v>
      </c>
      <c r="C14" s="1198" t="s">
        <v>2120</v>
      </c>
      <c r="D14" s="1199"/>
      <c r="E14" s="1200" t="s">
        <v>2121</v>
      </c>
      <c r="F14" s="1200" t="s">
        <v>2122</v>
      </c>
      <c r="G14" s="159"/>
      <c r="H14" s="159"/>
      <c r="I14" s="159"/>
      <c r="J14" s="159"/>
      <c r="K14" s="159"/>
      <c r="L14" s="159"/>
    </row>
    <row r="15" spans="2:25" x14ac:dyDescent="0.15">
      <c r="B15" s="159" t="s">
        <v>2123</v>
      </c>
      <c r="C15" s="159" t="s">
        <v>2124</v>
      </c>
      <c r="E15" s="1191">
        <v>4.5</v>
      </c>
      <c r="F15" s="1192">
        <f>E15*$C91/($C91-6*$C99-$C100)</f>
        <v>20.085738539898138</v>
      </c>
      <c r="G15" s="159"/>
      <c r="H15" s="159"/>
      <c r="I15" s="159"/>
      <c r="J15" s="159"/>
      <c r="K15" s="159"/>
      <c r="L15" s="159"/>
    </row>
    <row r="16" spans="2:25" x14ac:dyDescent="0.15">
      <c r="B16" s="159" t="s">
        <v>2125</v>
      </c>
      <c r="C16" s="159" t="s">
        <v>2126</v>
      </c>
      <c r="E16" s="1191">
        <v>5</v>
      </c>
      <c r="F16" s="1192">
        <f>E16*$C92/($C92-7*$C99-$C100)</f>
        <v>23.781725888324864</v>
      </c>
      <c r="G16" s="159"/>
      <c r="H16" s="159"/>
      <c r="I16" s="159"/>
      <c r="J16" s="159"/>
      <c r="K16" s="159"/>
      <c r="L16" s="159"/>
    </row>
    <row r="17" spans="2:25" x14ac:dyDescent="0.15">
      <c r="B17" s="159" t="s">
        <v>2127</v>
      </c>
      <c r="C17" s="159" t="s">
        <v>2128</v>
      </c>
      <c r="E17" s="1191">
        <v>1</v>
      </c>
      <c r="F17" s="1192">
        <f>E17*$C93/($C93-$C99-$C100)</f>
        <v>3.0727272727272728</v>
      </c>
      <c r="G17" s="159"/>
      <c r="H17" s="159"/>
      <c r="I17" s="159"/>
      <c r="J17" s="159"/>
      <c r="K17" s="159"/>
      <c r="L17" s="159"/>
    </row>
    <row r="18" spans="2:25" x14ac:dyDescent="0.15">
      <c r="B18" s="159" t="s">
        <v>2129</v>
      </c>
      <c r="C18" s="159" t="s">
        <v>2130</v>
      </c>
      <c r="E18" s="1191">
        <v>1.5</v>
      </c>
      <c r="F18" s="1192">
        <f>E18*$C94/($C94-$C100-$C101)</f>
        <v>2.1522496470695387</v>
      </c>
      <c r="G18" s="159"/>
      <c r="H18" s="159"/>
      <c r="I18" s="159"/>
      <c r="J18" s="159"/>
      <c r="K18" s="159"/>
      <c r="L18" s="159"/>
    </row>
    <row r="19" spans="2:25" x14ac:dyDescent="0.15">
      <c r="B19" s="159" t="s">
        <v>2131</v>
      </c>
      <c r="C19" s="159" t="s">
        <v>2132</v>
      </c>
      <c r="E19" s="1191">
        <v>1.5</v>
      </c>
      <c r="F19" s="1192">
        <f>E19*$C95/($C95-2*$C99-$C101)</f>
        <v>5.0175470008952558</v>
      </c>
      <c r="G19" s="159"/>
      <c r="H19" s="159"/>
      <c r="I19" s="159"/>
      <c r="J19" s="159"/>
      <c r="K19" s="159"/>
      <c r="L19" s="159"/>
    </row>
    <row r="20" spans="2:25" x14ac:dyDescent="0.15">
      <c r="B20" s="159" t="s">
        <v>2133</v>
      </c>
      <c r="C20" s="159" t="s">
        <v>2134</v>
      </c>
      <c r="E20" s="1191">
        <v>2</v>
      </c>
      <c r="F20" s="1192">
        <f>E20*$C96/($C96-$C104)</f>
        <v>2.5828779599271403</v>
      </c>
      <c r="G20" s="159"/>
      <c r="H20" s="159"/>
      <c r="I20" s="159"/>
      <c r="J20" s="159"/>
      <c r="K20" s="159"/>
      <c r="L20" s="159"/>
    </row>
    <row r="21" spans="2:25" x14ac:dyDescent="0.15">
      <c r="B21" s="159" t="s">
        <v>2135</v>
      </c>
      <c r="C21" s="159" t="s">
        <v>2136</v>
      </c>
      <c r="E21" s="1191">
        <v>34</v>
      </c>
      <c r="F21" s="1192">
        <f>E21*$C97/($C97-$C102)/2/0.995</f>
        <v>90.835472325657037</v>
      </c>
      <c r="G21" s="159"/>
      <c r="H21" s="159"/>
      <c r="I21" s="159"/>
      <c r="J21" s="159"/>
      <c r="K21" s="159"/>
      <c r="L21" s="159"/>
    </row>
    <row r="22" spans="2:25" x14ac:dyDescent="0.15">
      <c r="B22" s="159" t="s">
        <v>2135</v>
      </c>
      <c r="C22" s="159" t="s">
        <v>2137</v>
      </c>
      <c r="E22" s="1191">
        <v>32</v>
      </c>
      <c r="F22" s="1192">
        <f>E22*$C97/($C97-$C102)/2/0.99</f>
        <v>85.923988082261431</v>
      </c>
      <c r="G22" s="159"/>
      <c r="H22" s="159"/>
      <c r="I22" s="159"/>
      <c r="J22" s="159"/>
      <c r="K22" s="159"/>
      <c r="L22" s="159"/>
    </row>
    <row r="23" spans="2:25" x14ac:dyDescent="0.15">
      <c r="B23" s="159" t="s">
        <v>2138</v>
      </c>
      <c r="C23" s="159" t="s">
        <v>2139</v>
      </c>
      <c r="E23" s="1191">
        <v>36</v>
      </c>
      <c r="F23" s="1192">
        <f>E23*$C98/($C98-$C99-$C103)</f>
        <v>216</v>
      </c>
      <c r="G23" s="159"/>
      <c r="H23" s="159"/>
      <c r="I23" s="159"/>
      <c r="J23" s="159"/>
      <c r="K23" s="159"/>
      <c r="L23" s="159"/>
    </row>
    <row r="24" spans="2:25" ht="14" x14ac:dyDescent="0.15">
      <c r="B24" s="159"/>
      <c r="C24" s="159"/>
      <c r="E24" s="159"/>
      <c r="F24" s="159"/>
      <c r="G24" s="159"/>
      <c r="H24" s="159"/>
      <c r="I24" s="159"/>
      <c r="J24" s="159"/>
      <c r="K24" s="159"/>
      <c r="L24" s="1189"/>
    </row>
    <row r="25" spans="2:25" ht="14" x14ac:dyDescent="0.15">
      <c r="B25" s="159" t="s">
        <v>2140</v>
      </c>
      <c r="C25" s="159"/>
      <c r="E25" s="1193">
        <v>10</v>
      </c>
      <c r="F25" s="159"/>
      <c r="G25" s="159"/>
      <c r="H25" s="159"/>
      <c r="I25" s="159"/>
      <c r="J25" s="159"/>
      <c r="K25" s="159"/>
      <c r="L25" s="1189"/>
    </row>
    <row r="26" spans="2:25" ht="14" x14ac:dyDescent="0.15">
      <c r="B26" s="159"/>
      <c r="C26" s="159"/>
      <c r="E26" s="159"/>
      <c r="F26" s="159"/>
      <c r="G26" s="159"/>
      <c r="H26" s="159"/>
      <c r="I26" s="159"/>
      <c r="J26" s="159"/>
      <c r="K26" s="159"/>
      <c r="L26" s="1189"/>
    </row>
    <row r="27" spans="2:25" ht="14" x14ac:dyDescent="0.15">
      <c r="B27" s="159" t="s">
        <v>2141</v>
      </c>
      <c r="C27" s="159"/>
      <c r="E27" s="1191">
        <v>50</v>
      </c>
      <c r="F27" s="159"/>
      <c r="G27" s="159"/>
      <c r="H27" s="159"/>
      <c r="I27" s="159"/>
      <c r="J27" s="159"/>
      <c r="K27" s="159"/>
      <c r="L27" s="1189"/>
      <c r="M27" s="1189"/>
      <c r="N27" s="1189"/>
      <c r="O27" s="1189"/>
      <c r="P27" s="1189"/>
      <c r="Q27" s="1189"/>
      <c r="R27" s="1189"/>
      <c r="S27" s="159"/>
      <c r="T27" s="1189"/>
      <c r="U27" s="1189"/>
      <c r="V27" s="1189"/>
      <c r="W27" s="1189"/>
      <c r="X27" s="1189"/>
      <c r="Y27" s="1189"/>
    </row>
    <row r="28" spans="2:25" ht="14" x14ac:dyDescent="0.15">
      <c r="B28" s="159" t="s">
        <v>2142</v>
      </c>
      <c r="C28" s="159"/>
      <c r="E28" s="1194">
        <v>0.95</v>
      </c>
      <c r="F28" s="159"/>
      <c r="G28" s="159"/>
      <c r="H28" s="159"/>
      <c r="I28" s="159"/>
      <c r="J28" s="159"/>
      <c r="K28" s="159"/>
      <c r="L28" s="1189"/>
      <c r="M28" s="1189"/>
      <c r="N28" s="1189"/>
      <c r="O28" s="1189"/>
      <c r="P28" s="1189"/>
      <c r="Q28" s="1189"/>
      <c r="R28" s="1189"/>
      <c r="S28" s="159"/>
      <c r="T28" s="1189"/>
      <c r="U28" s="1189"/>
      <c r="V28" s="1189"/>
      <c r="W28" s="1189"/>
      <c r="X28" s="1189"/>
      <c r="Y28" s="1189"/>
    </row>
    <row r="29" spans="2:25" ht="15" thickBot="1" x14ac:dyDescent="0.2">
      <c r="B29" s="159"/>
      <c r="C29" s="159"/>
      <c r="D29" s="159"/>
      <c r="E29" s="159"/>
      <c r="F29" s="159"/>
      <c r="G29" s="159"/>
      <c r="H29" s="159"/>
      <c r="I29" s="159"/>
      <c r="J29" s="159"/>
      <c r="K29" s="159"/>
      <c r="L29" s="159"/>
      <c r="M29" s="159"/>
      <c r="N29" s="159"/>
      <c r="O29" s="159"/>
      <c r="P29" s="159"/>
      <c r="Q29" s="159"/>
      <c r="R29" s="159"/>
      <c r="S29" s="159"/>
      <c r="T29" s="1189"/>
      <c r="U29" s="1189"/>
      <c r="V29" s="1189"/>
      <c r="W29" s="1189"/>
      <c r="X29" s="1189"/>
      <c r="Y29" s="1189"/>
    </row>
    <row r="30" spans="2:25" ht="21" thickBot="1" x14ac:dyDescent="0.25">
      <c r="B30" s="1262" t="s">
        <v>2143</v>
      </c>
      <c r="C30" s="1263"/>
      <c r="D30" s="1263"/>
      <c r="E30" s="1263"/>
      <c r="F30" s="1263"/>
      <c r="G30" s="1263"/>
      <c r="H30" s="1263"/>
      <c r="I30" s="1263"/>
      <c r="J30" s="1263"/>
      <c r="K30" s="1263"/>
      <c r="L30" s="1263"/>
      <c r="M30" s="1264"/>
      <c r="N30" s="159"/>
      <c r="O30" s="159"/>
      <c r="P30" s="159"/>
      <c r="Q30" s="159"/>
      <c r="R30" s="159"/>
      <c r="S30" s="159"/>
      <c r="T30" s="1189"/>
      <c r="U30" s="1189"/>
      <c r="V30" s="1189"/>
      <c r="W30" s="1189"/>
      <c r="X30" s="1189"/>
      <c r="Y30" s="1189"/>
    </row>
    <row r="31" spans="2:25" ht="16" x14ac:dyDescent="0.2">
      <c r="B31" s="726"/>
      <c r="C31" s="159"/>
      <c r="D31" s="159"/>
      <c r="E31" s="159"/>
      <c r="F31" s="159"/>
      <c r="G31" s="159"/>
      <c r="H31" s="159"/>
      <c r="I31" s="159"/>
      <c r="J31" s="159"/>
      <c r="K31" s="159"/>
      <c r="L31" s="159"/>
      <c r="M31" s="159"/>
      <c r="N31" s="159"/>
      <c r="O31" s="159"/>
      <c r="P31" s="159"/>
      <c r="Q31" s="159"/>
      <c r="R31" s="159"/>
      <c r="S31" s="159"/>
      <c r="T31" s="1189"/>
      <c r="U31" s="1189"/>
      <c r="V31" s="1189"/>
      <c r="W31" s="1189"/>
      <c r="X31" s="1189"/>
      <c r="Y31" s="1189"/>
    </row>
    <row r="32" spans="2:25" ht="14" x14ac:dyDescent="0.15">
      <c r="B32" s="507" t="s">
        <v>2144</v>
      </c>
      <c r="C32" s="159"/>
      <c r="D32" s="701" t="s">
        <v>736</v>
      </c>
      <c r="E32" s="701" t="s">
        <v>737</v>
      </c>
      <c r="F32" s="701" t="s">
        <v>738</v>
      </c>
      <c r="G32" s="701" t="s">
        <v>739</v>
      </c>
      <c r="H32" s="701" t="s">
        <v>740</v>
      </c>
      <c r="I32" s="701" t="s">
        <v>741</v>
      </c>
      <c r="J32" s="701" t="s">
        <v>742</v>
      </c>
      <c r="K32" s="701" t="s">
        <v>743</v>
      </c>
      <c r="L32" s="159"/>
      <c r="M32" s="159"/>
      <c r="N32" s="159"/>
      <c r="O32" s="159"/>
      <c r="P32" s="159"/>
      <c r="Q32" s="159"/>
      <c r="R32" s="159"/>
      <c r="S32" s="159"/>
      <c r="T32" s="1189"/>
      <c r="U32" s="1189"/>
      <c r="V32" s="1189"/>
      <c r="W32" s="1189"/>
      <c r="X32" s="1189"/>
      <c r="Y32" s="1189"/>
    </row>
    <row r="33" spans="2:25" ht="14" x14ac:dyDescent="0.15">
      <c r="B33" s="159" t="s">
        <v>2123</v>
      </c>
      <c r="C33" s="159"/>
      <c r="D33" s="1195">
        <f>1/3</f>
        <v>0.33333333333333331</v>
      </c>
      <c r="E33" s="159">
        <v>0.5</v>
      </c>
      <c r="F33" s="159">
        <v>0.6</v>
      </c>
      <c r="G33" s="159">
        <v>0.8</v>
      </c>
      <c r="H33" s="159">
        <v>0.95</v>
      </c>
      <c r="I33" s="159">
        <v>0.8</v>
      </c>
      <c r="J33" s="159">
        <v>0</v>
      </c>
      <c r="K33" s="159">
        <v>0</v>
      </c>
      <c r="L33" s="159"/>
      <c r="M33" s="159"/>
      <c r="N33" s="159"/>
      <c r="O33" s="159"/>
      <c r="P33" s="159"/>
      <c r="Q33" s="159"/>
      <c r="R33" s="159"/>
      <c r="S33" s="1189"/>
      <c r="T33" s="1189"/>
      <c r="U33" s="1189"/>
      <c r="V33" s="1189"/>
      <c r="W33" s="1189"/>
      <c r="X33" s="1189"/>
      <c r="Y33" s="1189"/>
    </row>
    <row r="34" spans="2:25" ht="14" x14ac:dyDescent="0.15">
      <c r="B34" s="159" t="s">
        <v>2125</v>
      </c>
      <c r="C34" s="159"/>
      <c r="D34" s="1195">
        <f>1/3</f>
        <v>0.33333333333333331</v>
      </c>
      <c r="E34" s="159">
        <v>0.3</v>
      </c>
      <c r="F34" s="159">
        <v>0.2</v>
      </c>
      <c r="G34" s="159">
        <v>0.1</v>
      </c>
      <c r="H34" s="159">
        <v>2.5000000000000001E-2</v>
      </c>
      <c r="I34" s="159">
        <v>0.15</v>
      </c>
      <c r="J34" s="159">
        <v>0</v>
      </c>
      <c r="K34" s="159">
        <v>0</v>
      </c>
      <c r="L34" s="159"/>
      <c r="M34" s="159"/>
      <c r="N34" s="159"/>
      <c r="O34" s="159"/>
      <c r="P34" s="159"/>
      <c r="Q34" s="159"/>
      <c r="R34" s="159"/>
      <c r="S34" s="1189"/>
      <c r="T34" s="1189"/>
      <c r="U34" s="1189"/>
      <c r="V34" s="1189"/>
      <c r="W34" s="1189"/>
      <c r="X34" s="1189"/>
      <c r="Y34" s="1189"/>
    </row>
    <row r="35" spans="2:25" ht="14" x14ac:dyDescent="0.15">
      <c r="B35" s="159" t="s">
        <v>2127</v>
      </c>
      <c r="C35" s="159"/>
      <c r="D35" s="1195">
        <f>1/3</f>
        <v>0.33333333333333331</v>
      </c>
      <c r="E35" s="159">
        <v>0.2</v>
      </c>
      <c r="F35" s="159">
        <v>0.2</v>
      </c>
      <c r="G35" s="159">
        <v>0.1</v>
      </c>
      <c r="H35" s="159">
        <v>2.5000000000000001E-2</v>
      </c>
      <c r="I35" s="159">
        <v>0</v>
      </c>
      <c r="J35" s="159">
        <v>0</v>
      </c>
      <c r="K35" s="159">
        <v>0</v>
      </c>
      <c r="L35" s="159"/>
      <c r="M35" s="159"/>
      <c r="N35" s="159"/>
      <c r="O35" s="159"/>
      <c r="P35" s="159"/>
      <c r="Q35" s="159"/>
      <c r="R35" s="159"/>
      <c r="S35" s="1189"/>
      <c r="T35" s="1189"/>
      <c r="U35" s="1189"/>
      <c r="V35" s="1189"/>
      <c r="W35" s="1189"/>
      <c r="X35" s="1189"/>
      <c r="Y35" s="1189"/>
    </row>
    <row r="36" spans="2:25" ht="14" x14ac:dyDescent="0.15">
      <c r="B36" s="159" t="s">
        <v>2129</v>
      </c>
      <c r="C36" s="159"/>
      <c r="D36" s="1195">
        <v>0</v>
      </c>
      <c r="E36" s="159">
        <v>0</v>
      </c>
      <c r="F36" s="159">
        <v>0</v>
      </c>
      <c r="G36" s="159">
        <v>0</v>
      </c>
      <c r="H36" s="159">
        <v>0</v>
      </c>
      <c r="I36" s="159">
        <v>2.5000000000000001E-2</v>
      </c>
      <c r="J36" s="159">
        <v>0</v>
      </c>
      <c r="K36" s="159">
        <v>0</v>
      </c>
      <c r="L36" s="159"/>
      <c r="M36" s="159"/>
      <c r="N36" s="159"/>
      <c r="O36" s="159"/>
      <c r="P36" s="159"/>
      <c r="Q36" s="159"/>
      <c r="R36" s="159"/>
      <c r="S36" s="1189"/>
      <c r="T36" s="1189"/>
      <c r="U36" s="1189"/>
      <c r="V36" s="1189"/>
      <c r="W36" s="1189"/>
      <c r="X36" s="1189"/>
      <c r="Y36" s="1189"/>
    </row>
    <row r="37" spans="2:25" ht="14" x14ac:dyDescent="0.15">
      <c r="B37" s="159" t="s">
        <v>2131</v>
      </c>
      <c r="C37" s="159"/>
      <c r="D37" s="1195">
        <v>0</v>
      </c>
      <c r="E37" s="159">
        <v>0</v>
      </c>
      <c r="F37" s="159">
        <v>0</v>
      </c>
      <c r="G37" s="159">
        <v>0</v>
      </c>
      <c r="H37" s="159">
        <v>0</v>
      </c>
      <c r="I37" s="159">
        <v>0</v>
      </c>
      <c r="J37" s="159">
        <v>1</v>
      </c>
      <c r="K37" s="159">
        <v>0</v>
      </c>
      <c r="L37" s="159"/>
      <c r="M37" s="159"/>
      <c r="N37" s="159"/>
      <c r="O37" s="159"/>
      <c r="P37" s="159"/>
      <c r="Q37" s="159"/>
      <c r="R37" s="159"/>
      <c r="S37" s="1189"/>
      <c r="T37" s="1189"/>
      <c r="U37" s="1189"/>
      <c r="V37" s="1189"/>
      <c r="W37" s="1189"/>
      <c r="X37" s="1189"/>
      <c r="Y37" s="1189"/>
    </row>
    <row r="38" spans="2:25" ht="14" x14ac:dyDescent="0.15">
      <c r="B38" s="159" t="s">
        <v>2133</v>
      </c>
      <c r="C38" s="159"/>
      <c r="D38" s="1195">
        <v>0</v>
      </c>
      <c r="E38" s="159">
        <v>0</v>
      </c>
      <c r="F38" s="159">
        <v>0</v>
      </c>
      <c r="G38" s="159">
        <v>0</v>
      </c>
      <c r="H38" s="159">
        <v>0</v>
      </c>
      <c r="I38" s="159">
        <v>0</v>
      </c>
      <c r="J38" s="159">
        <v>0</v>
      </c>
      <c r="K38" s="159">
        <v>1.9</v>
      </c>
      <c r="L38" s="159"/>
      <c r="M38" s="1189"/>
      <c r="N38" s="1189"/>
      <c r="O38" s="1189"/>
      <c r="P38" s="1189"/>
      <c r="Q38" s="1189"/>
      <c r="R38" s="1189"/>
      <c r="S38" s="1189"/>
      <c r="T38" s="1189"/>
      <c r="U38" s="1189"/>
      <c r="V38" s="1189"/>
      <c r="W38" s="1189"/>
      <c r="X38" s="1189"/>
      <c r="Y38" s="1189"/>
    </row>
    <row r="39" spans="2:25" ht="14" x14ac:dyDescent="0.15">
      <c r="B39" s="159" t="s">
        <v>2145</v>
      </c>
      <c r="C39" s="159"/>
      <c r="D39" s="159">
        <v>0.52500000000000002</v>
      </c>
      <c r="E39" s="159">
        <v>0.52500000000000002</v>
      </c>
      <c r="F39" s="159">
        <v>0.52500000000000002</v>
      </c>
      <c r="G39" s="159">
        <v>0</v>
      </c>
      <c r="H39" s="159">
        <v>0</v>
      </c>
      <c r="I39" s="159">
        <v>0</v>
      </c>
      <c r="J39" s="159">
        <v>0</v>
      </c>
      <c r="K39" s="159">
        <v>0</v>
      </c>
      <c r="L39" s="159"/>
      <c r="M39" s="1189"/>
      <c r="N39" s="1189"/>
      <c r="O39" s="1189"/>
      <c r="P39" s="1189"/>
      <c r="Q39" s="1189"/>
      <c r="R39" s="1189"/>
      <c r="S39" s="1189"/>
      <c r="T39" s="1189"/>
      <c r="U39" s="1189"/>
      <c r="V39" s="1189"/>
      <c r="W39" s="1189"/>
      <c r="X39" s="1189"/>
      <c r="Y39" s="1189"/>
    </row>
    <row r="40" spans="2:25" ht="14" x14ac:dyDescent="0.15">
      <c r="B40" s="159" t="s">
        <v>2146</v>
      </c>
      <c r="C40" s="159"/>
      <c r="D40" s="159">
        <v>0</v>
      </c>
      <c r="E40" s="159">
        <v>0</v>
      </c>
      <c r="F40" s="159">
        <v>0</v>
      </c>
      <c r="G40" s="159">
        <v>0</v>
      </c>
      <c r="H40" s="159">
        <v>0</v>
      </c>
      <c r="I40" s="159">
        <v>0</v>
      </c>
      <c r="J40" s="159">
        <v>0.5</v>
      </c>
      <c r="K40" s="159">
        <v>0.52500000000000002</v>
      </c>
      <c r="L40" s="159"/>
      <c r="M40" s="1189"/>
      <c r="N40" s="1189"/>
      <c r="O40" s="1189"/>
      <c r="P40" s="1189"/>
      <c r="Q40" s="1189"/>
      <c r="R40" s="1189"/>
      <c r="S40" s="1189"/>
      <c r="T40" s="1189"/>
      <c r="U40" s="1189"/>
      <c r="V40" s="1189"/>
      <c r="W40" s="1189"/>
      <c r="X40" s="1189"/>
      <c r="Y40" s="1189"/>
    </row>
    <row r="41" spans="2:25" ht="14" x14ac:dyDescent="0.15">
      <c r="B41" s="159" t="s">
        <v>2138</v>
      </c>
      <c r="C41" s="159"/>
      <c r="D41" s="159">
        <v>0</v>
      </c>
      <c r="E41" s="159">
        <v>0</v>
      </c>
      <c r="F41" s="159">
        <v>0</v>
      </c>
      <c r="G41" s="159">
        <v>1.05</v>
      </c>
      <c r="H41" s="159">
        <v>1.05</v>
      </c>
      <c r="I41" s="159">
        <v>1.05</v>
      </c>
      <c r="J41" s="159">
        <v>0</v>
      </c>
      <c r="K41" s="159">
        <v>0</v>
      </c>
      <c r="L41" s="159"/>
      <c r="M41" s="1189"/>
      <c r="N41" s="1189"/>
      <c r="O41" s="1189"/>
      <c r="P41" s="1189"/>
      <c r="Q41" s="1189"/>
      <c r="R41" s="1189"/>
      <c r="S41" s="1189"/>
      <c r="T41" s="1189"/>
      <c r="U41" s="1189"/>
      <c r="V41" s="1189"/>
      <c r="W41" s="1189"/>
      <c r="X41" s="1189"/>
      <c r="Y41" s="1189"/>
    </row>
    <row r="42" spans="2:25" ht="14" x14ac:dyDescent="0.15">
      <c r="B42" s="159"/>
      <c r="C42" s="159"/>
      <c r="D42" s="159"/>
      <c r="E42" s="159"/>
      <c r="F42" s="159"/>
      <c r="G42" s="159"/>
      <c r="H42" s="159"/>
      <c r="I42" s="159"/>
      <c r="J42" s="159"/>
      <c r="K42" s="159"/>
      <c r="L42" s="1189"/>
      <c r="M42" s="1189"/>
      <c r="N42" s="1189"/>
      <c r="O42" s="1189"/>
      <c r="P42" s="1189"/>
      <c r="Q42" s="1189"/>
      <c r="R42" s="1189"/>
      <c r="S42" s="1189"/>
      <c r="T42" s="1189"/>
      <c r="U42" s="1189"/>
      <c r="V42" s="1189"/>
      <c r="W42" s="1189"/>
      <c r="X42" s="1189"/>
      <c r="Y42" s="1189"/>
    </row>
    <row r="43" spans="2:25" ht="14" x14ac:dyDescent="0.15">
      <c r="B43" s="507" t="s">
        <v>2147</v>
      </c>
      <c r="C43" s="159"/>
      <c r="D43" s="701" t="s">
        <v>736</v>
      </c>
      <c r="E43" s="701" t="s">
        <v>737</v>
      </c>
      <c r="F43" s="701" t="s">
        <v>738</v>
      </c>
      <c r="G43" s="701" t="s">
        <v>739</v>
      </c>
      <c r="H43" s="701" t="s">
        <v>740</v>
      </c>
      <c r="I43" s="701" t="s">
        <v>741</v>
      </c>
      <c r="J43" s="701" t="s">
        <v>742</v>
      </c>
      <c r="K43" s="701" t="s">
        <v>743</v>
      </c>
      <c r="L43" s="1189"/>
      <c r="M43" s="1189"/>
      <c r="N43" s="1189"/>
      <c r="O43" s="1189"/>
      <c r="P43" s="1189"/>
      <c r="Q43" s="1189"/>
      <c r="R43" s="1189"/>
      <c r="S43" s="1189"/>
      <c r="T43" s="1189"/>
      <c r="U43" s="1189"/>
      <c r="V43" s="1189"/>
      <c r="W43" s="1189"/>
      <c r="X43" s="1189"/>
      <c r="Y43" s="1189"/>
    </row>
    <row r="44" spans="2:25" ht="14" x14ac:dyDescent="0.15">
      <c r="B44" s="159" t="s">
        <v>2123</v>
      </c>
      <c r="C44" s="159"/>
      <c r="D44" s="1196">
        <f t="shared" ref="D44:K49" si="0">D33*$D91</f>
        <v>8.7633333333333313E-2</v>
      </c>
      <c r="E44" s="1196">
        <f t="shared" si="0"/>
        <v>0.13144999999999998</v>
      </c>
      <c r="F44" s="1196">
        <f t="shared" si="0"/>
        <v>0.15773999999999996</v>
      </c>
      <c r="G44" s="1196">
        <f t="shared" si="0"/>
        <v>0.21031999999999998</v>
      </c>
      <c r="H44" s="1196">
        <f t="shared" si="0"/>
        <v>0.24975499999999995</v>
      </c>
      <c r="I44" s="1196">
        <f t="shared" si="0"/>
        <v>0.21031999999999998</v>
      </c>
      <c r="J44" s="1196">
        <f t="shared" si="0"/>
        <v>0</v>
      </c>
      <c r="K44" s="1196">
        <f t="shared" si="0"/>
        <v>0</v>
      </c>
      <c r="L44" s="1189"/>
      <c r="M44" s="1189"/>
      <c r="N44" s="1189"/>
      <c r="O44" s="1189"/>
      <c r="P44" s="1189"/>
      <c r="Q44" s="1189"/>
      <c r="R44" s="1189"/>
      <c r="S44" s="1189"/>
      <c r="T44" s="1189"/>
      <c r="U44" s="1189"/>
      <c r="V44" s="1189"/>
      <c r="W44" s="1189"/>
      <c r="X44" s="1189"/>
      <c r="Y44" s="1189"/>
    </row>
    <row r="45" spans="2:25" ht="14" x14ac:dyDescent="0.15">
      <c r="B45" s="159" t="s">
        <v>2125</v>
      </c>
      <c r="C45" s="159"/>
      <c r="D45" s="1196">
        <f t="shared" si="0"/>
        <v>9.3700000000000006E-2</v>
      </c>
      <c r="E45" s="1196">
        <f t="shared" si="0"/>
        <v>8.4330000000000002E-2</v>
      </c>
      <c r="F45" s="1196">
        <f t="shared" si="0"/>
        <v>5.6220000000000006E-2</v>
      </c>
      <c r="G45" s="1196">
        <f t="shared" si="0"/>
        <v>2.8110000000000003E-2</v>
      </c>
      <c r="H45" s="1196">
        <f t="shared" si="0"/>
        <v>7.0275000000000008E-3</v>
      </c>
      <c r="I45" s="1196">
        <f t="shared" si="0"/>
        <v>4.2165000000000001E-2</v>
      </c>
      <c r="J45" s="1196">
        <f t="shared" si="0"/>
        <v>0</v>
      </c>
      <c r="K45" s="1196">
        <f t="shared" si="0"/>
        <v>0</v>
      </c>
      <c r="L45" s="1189"/>
      <c r="M45" s="1189"/>
      <c r="N45" s="1189"/>
      <c r="O45" s="1189"/>
      <c r="P45" s="1189"/>
      <c r="Q45" s="1189"/>
      <c r="R45" s="1189"/>
      <c r="S45" s="1189"/>
      <c r="T45" s="1189"/>
      <c r="U45" s="1189"/>
      <c r="V45" s="1189"/>
      <c r="W45" s="1189"/>
      <c r="X45" s="1189"/>
      <c r="Y45" s="1189"/>
    </row>
    <row r="46" spans="2:25" ht="14" x14ac:dyDescent="0.15">
      <c r="B46" s="159" t="s">
        <v>2127</v>
      </c>
      <c r="C46" s="159"/>
      <c r="D46" s="1196">
        <f t="shared" si="0"/>
        <v>5.6333333333333332E-2</v>
      </c>
      <c r="E46" s="1196">
        <f t="shared" si="0"/>
        <v>3.3800000000000004E-2</v>
      </c>
      <c r="F46" s="1196">
        <f t="shared" si="0"/>
        <v>3.3800000000000004E-2</v>
      </c>
      <c r="G46" s="1196">
        <f t="shared" si="0"/>
        <v>1.6900000000000002E-2</v>
      </c>
      <c r="H46" s="1196">
        <f t="shared" si="0"/>
        <v>4.2250000000000005E-3</v>
      </c>
      <c r="I46" s="1196">
        <f t="shared" si="0"/>
        <v>0</v>
      </c>
      <c r="J46" s="1196">
        <f t="shared" si="0"/>
        <v>0</v>
      </c>
      <c r="K46" s="1196">
        <f t="shared" si="0"/>
        <v>0</v>
      </c>
      <c r="L46" s="1189"/>
      <c r="M46" s="1189"/>
      <c r="N46" s="1189"/>
      <c r="O46" s="1189"/>
      <c r="P46" s="1189"/>
      <c r="Q46" s="1189"/>
      <c r="R46" s="1189"/>
      <c r="S46" s="1189"/>
      <c r="T46" s="1189"/>
      <c r="U46" s="1189"/>
      <c r="V46" s="1189"/>
      <c r="W46" s="1189"/>
      <c r="X46" s="1189"/>
      <c r="Y46" s="1189"/>
    </row>
    <row r="47" spans="2:25" ht="14" x14ac:dyDescent="0.15">
      <c r="B47" s="159" t="s">
        <v>2129</v>
      </c>
      <c r="C47" s="159"/>
      <c r="D47" s="1196">
        <f t="shared" si="0"/>
        <v>0</v>
      </c>
      <c r="E47" s="1196">
        <f t="shared" si="0"/>
        <v>0</v>
      </c>
      <c r="F47" s="1196">
        <f t="shared" si="0"/>
        <v>0</v>
      </c>
      <c r="G47" s="1196">
        <f t="shared" si="0"/>
        <v>0</v>
      </c>
      <c r="H47" s="1196">
        <f t="shared" si="0"/>
        <v>0</v>
      </c>
      <c r="I47" s="1196">
        <f t="shared" si="0"/>
        <v>1.575375E-2</v>
      </c>
      <c r="J47" s="1196">
        <f t="shared" si="0"/>
        <v>0</v>
      </c>
      <c r="K47" s="1196">
        <f t="shared" si="0"/>
        <v>0</v>
      </c>
      <c r="L47" s="1189"/>
      <c r="M47" s="1189"/>
      <c r="N47" s="1189"/>
      <c r="O47" s="1189"/>
      <c r="P47" s="1189"/>
      <c r="Q47" s="1189"/>
      <c r="R47" s="1189"/>
      <c r="S47" s="1189"/>
      <c r="T47" s="1189"/>
      <c r="U47" s="1189"/>
      <c r="V47" s="1189"/>
      <c r="W47" s="1189"/>
      <c r="X47" s="1189"/>
      <c r="Y47" s="1189"/>
    </row>
    <row r="48" spans="2:25" ht="14" x14ac:dyDescent="0.15">
      <c r="B48" s="159" t="s">
        <v>2131</v>
      </c>
      <c r="C48" s="159"/>
      <c r="D48" s="1196">
        <f t="shared" si="0"/>
        <v>0</v>
      </c>
      <c r="E48" s="1196">
        <f t="shared" si="0"/>
        <v>0</v>
      </c>
      <c r="F48" s="1196">
        <f t="shared" si="0"/>
        <v>0</v>
      </c>
      <c r="G48" s="1196">
        <f t="shared" si="0"/>
        <v>0</v>
      </c>
      <c r="H48" s="1196">
        <f t="shared" si="0"/>
        <v>0</v>
      </c>
      <c r="I48" s="1196">
        <f t="shared" si="0"/>
        <v>0</v>
      </c>
      <c r="J48" s="1196">
        <f t="shared" si="0"/>
        <v>0.18681999999999999</v>
      </c>
      <c r="K48" s="1196">
        <f t="shared" si="0"/>
        <v>0</v>
      </c>
      <c r="L48" s="1189"/>
      <c r="M48" s="1189"/>
      <c r="N48" s="1189"/>
      <c r="O48" s="1189"/>
      <c r="P48" s="1189"/>
      <c r="Q48" s="1189"/>
      <c r="R48" s="1189"/>
      <c r="S48" s="1189"/>
      <c r="T48" s="1189"/>
      <c r="U48" s="1189"/>
      <c r="V48" s="1189"/>
      <c r="W48" s="1189"/>
      <c r="X48" s="1189"/>
      <c r="Y48" s="1189"/>
    </row>
    <row r="49" spans="2:25" ht="14" x14ac:dyDescent="0.15">
      <c r="B49" s="159" t="s">
        <v>2133</v>
      </c>
      <c r="C49" s="159"/>
      <c r="D49" s="1196">
        <f t="shared" si="0"/>
        <v>0</v>
      </c>
      <c r="E49" s="1196">
        <f t="shared" si="0"/>
        <v>0</v>
      </c>
      <c r="F49" s="1196">
        <f t="shared" si="0"/>
        <v>0</v>
      </c>
      <c r="G49" s="1196">
        <f t="shared" si="0"/>
        <v>0</v>
      </c>
      <c r="H49" s="1196">
        <f t="shared" si="0"/>
        <v>0</v>
      </c>
      <c r="I49" s="1196">
        <f t="shared" si="0"/>
        <v>0</v>
      </c>
      <c r="J49" s="1196">
        <f t="shared" si="0"/>
        <v>0</v>
      </c>
      <c r="K49" s="1196">
        <f t="shared" si="0"/>
        <v>0.13471</v>
      </c>
      <c r="L49" s="1189"/>
      <c r="M49" s="1189"/>
      <c r="N49" s="1189"/>
      <c r="O49" s="1189"/>
      <c r="P49" s="1189"/>
      <c r="Q49" s="1189"/>
      <c r="R49" s="1189"/>
      <c r="S49" s="1189"/>
      <c r="T49" s="1189"/>
      <c r="U49" s="1189"/>
      <c r="V49" s="1189"/>
      <c r="W49" s="1189"/>
      <c r="X49" s="1189"/>
      <c r="Y49" s="1189"/>
    </row>
    <row r="50" spans="2:25" ht="14" x14ac:dyDescent="0.15">
      <c r="B50" s="159" t="s">
        <v>2145</v>
      </c>
      <c r="C50" s="159"/>
      <c r="D50" s="1196">
        <f t="shared" ref="D50:K50" si="1">D39*$D97/0.995</f>
        <v>3.8992462311557792E-2</v>
      </c>
      <c r="E50" s="1196">
        <f t="shared" si="1"/>
        <v>3.8992462311557792E-2</v>
      </c>
      <c r="F50" s="1196">
        <f t="shared" si="1"/>
        <v>3.8992462311557792E-2</v>
      </c>
      <c r="G50" s="1196">
        <f t="shared" si="1"/>
        <v>0</v>
      </c>
      <c r="H50" s="1196">
        <f t="shared" si="1"/>
        <v>0</v>
      </c>
      <c r="I50" s="1196">
        <f t="shared" si="1"/>
        <v>0</v>
      </c>
      <c r="J50" s="1196">
        <f t="shared" si="1"/>
        <v>0</v>
      </c>
      <c r="K50" s="1196">
        <f t="shared" si="1"/>
        <v>0</v>
      </c>
      <c r="L50" s="1189"/>
      <c r="M50" s="1189"/>
      <c r="N50" s="1189"/>
      <c r="O50" s="1189"/>
      <c r="P50" s="1189"/>
      <c r="Q50" s="1189"/>
      <c r="R50" s="1189"/>
      <c r="S50" s="1189"/>
      <c r="T50" s="1189"/>
      <c r="U50" s="1189"/>
      <c r="V50" s="1189"/>
      <c r="W50" s="1189"/>
      <c r="X50" s="1189"/>
      <c r="Y50" s="1189"/>
    </row>
    <row r="51" spans="2:25" ht="14" x14ac:dyDescent="0.15">
      <c r="B51" s="159" t="s">
        <v>2146</v>
      </c>
      <c r="C51" s="159"/>
      <c r="D51" s="1196">
        <f t="shared" ref="D51:K51" si="2">D40*$D97/0.99</f>
        <v>0</v>
      </c>
      <c r="E51" s="1196">
        <f t="shared" si="2"/>
        <v>0</v>
      </c>
      <c r="F51" s="1196">
        <f t="shared" si="2"/>
        <v>0</v>
      </c>
      <c r="G51" s="1196">
        <f t="shared" si="2"/>
        <v>0</v>
      </c>
      <c r="H51" s="1196">
        <f t="shared" si="2"/>
        <v>0</v>
      </c>
      <c r="I51" s="1196">
        <f t="shared" si="2"/>
        <v>0</v>
      </c>
      <c r="J51" s="1196">
        <f t="shared" si="2"/>
        <v>3.7323232323232328E-2</v>
      </c>
      <c r="K51" s="1196">
        <f t="shared" si="2"/>
        <v>3.9189393939393947E-2</v>
      </c>
      <c r="L51" s="1189"/>
      <c r="M51" s="1189"/>
      <c r="N51" s="1189"/>
      <c r="O51" s="1189"/>
      <c r="P51" s="1189"/>
      <c r="Q51" s="1189"/>
      <c r="R51" s="1189"/>
      <c r="S51" s="159"/>
      <c r="T51" s="1189"/>
      <c r="U51" s="1189"/>
      <c r="V51" s="1189"/>
      <c r="W51" s="1189"/>
      <c r="X51" s="1189"/>
      <c r="Y51" s="1189"/>
    </row>
    <row r="52" spans="2:25" ht="14" x14ac:dyDescent="0.15">
      <c r="B52" s="159" t="s">
        <v>2138</v>
      </c>
      <c r="C52" s="159"/>
      <c r="D52" s="1196">
        <f t="shared" ref="D52:K52" si="3">D41*$D98</f>
        <v>0</v>
      </c>
      <c r="E52" s="1196">
        <f t="shared" si="3"/>
        <v>0</v>
      </c>
      <c r="F52" s="1196">
        <f t="shared" si="3"/>
        <v>0</v>
      </c>
      <c r="G52" s="1196">
        <f t="shared" si="3"/>
        <v>4.4100000000000007E-2</v>
      </c>
      <c r="H52" s="1196">
        <f t="shared" si="3"/>
        <v>4.4100000000000007E-2</v>
      </c>
      <c r="I52" s="1196">
        <f t="shared" si="3"/>
        <v>4.4100000000000007E-2</v>
      </c>
      <c r="J52" s="1196">
        <f t="shared" si="3"/>
        <v>0</v>
      </c>
      <c r="K52" s="1196">
        <f t="shared" si="3"/>
        <v>0</v>
      </c>
      <c r="L52" s="1189"/>
      <c r="M52" s="159"/>
      <c r="N52" s="159"/>
      <c r="O52" s="159"/>
      <c r="P52" s="159"/>
      <c r="Q52" s="159"/>
      <c r="R52" s="159"/>
      <c r="S52" s="1189"/>
      <c r="T52" s="1189"/>
      <c r="U52" s="1189"/>
      <c r="V52" s="1189"/>
      <c r="W52" s="1189"/>
      <c r="X52" s="1189"/>
      <c r="Y52" s="1189"/>
    </row>
    <row r="53" spans="2:25" ht="14" x14ac:dyDescent="0.15">
      <c r="B53" s="159"/>
      <c r="C53" s="159"/>
      <c r="D53" s="159"/>
      <c r="E53" s="159"/>
      <c r="F53" s="159"/>
      <c r="G53" s="159"/>
      <c r="H53" s="159"/>
      <c r="I53" s="159"/>
      <c r="J53" s="159"/>
      <c r="K53" s="159"/>
      <c r="L53" s="1189"/>
      <c r="M53" s="1189"/>
      <c r="N53" s="1189"/>
      <c r="O53" s="1189"/>
      <c r="P53" s="1189"/>
      <c r="Q53" s="1189"/>
      <c r="R53" s="1189"/>
      <c r="S53" s="1189"/>
      <c r="T53" s="1189"/>
      <c r="U53" s="1189"/>
      <c r="V53" s="1189"/>
      <c r="W53" s="1189"/>
      <c r="X53" s="1189"/>
      <c r="Y53" s="1189"/>
    </row>
    <row r="54" spans="2:25" ht="14" x14ac:dyDescent="0.15">
      <c r="B54" s="507" t="s">
        <v>2148</v>
      </c>
      <c r="C54" s="159"/>
      <c r="D54" s="701" t="s">
        <v>736</v>
      </c>
      <c r="E54" s="701" t="s">
        <v>737</v>
      </c>
      <c r="F54" s="701" t="s">
        <v>738</v>
      </c>
      <c r="G54" s="701" t="s">
        <v>739</v>
      </c>
      <c r="H54" s="701" t="s">
        <v>740</v>
      </c>
      <c r="I54" s="701" t="s">
        <v>741</v>
      </c>
      <c r="J54" s="701" t="s">
        <v>742</v>
      </c>
      <c r="K54" s="701" t="s">
        <v>743</v>
      </c>
      <c r="L54" s="1189"/>
      <c r="M54" s="1189"/>
      <c r="N54" s="1189"/>
      <c r="O54" s="1189"/>
      <c r="P54" s="1189"/>
      <c r="Q54" s="1189"/>
      <c r="R54" s="1189"/>
      <c r="S54" s="1189"/>
      <c r="T54" s="1189"/>
      <c r="U54" s="1189"/>
      <c r="V54" s="1189"/>
      <c r="W54" s="1189"/>
      <c r="X54" s="1189"/>
      <c r="Y54" s="1189"/>
    </row>
    <row r="55" spans="2:25" ht="14" x14ac:dyDescent="0.15">
      <c r="B55" s="159" t="s">
        <v>2123</v>
      </c>
      <c r="C55" s="159"/>
      <c r="D55" s="1195">
        <f t="shared" ref="D55:K63" si="4">$E15*D44/D$86</f>
        <v>4.0903433253811841</v>
      </c>
      <c r="E55" s="1195">
        <f t="shared" si="4"/>
        <v>6.1259838442419214</v>
      </c>
      <c r="F55" s="1195">
        <f t="shared" si="4"/>
        <v>7.322364349081905</v>
      </c>
      <c r="G55" s="1195">
        <f t="shared" si="4"/>
        <v>9.7270298047276462</v>
      </c>
      <c r="H55" s="1195">
        <f t="shared" si="4"/>
        <v>11.520064575645753</v>
      </c>
      <c r="I55" s="1195">
        <f t="shared" si="4"/>
        <v>9.8484911550468262</v>
      </c>
      <c r="J55" s="1195">
        <f t="shared" si="4"/>
        <v>0</v>
      </c>
      <c r="K55" s="1195">
        <f t="shared" si="4"/>
        <v>0</v>
      </c>
      <c r="L55" s="1189"/>
      <c r="M55" s="1189"/>
      <c r="N55" s="1189"/>
      <c r="O55" s="1189"/>
      <c r="P55" s="1189"/>
      <c r="Q55" s="1189"/>
      <c r="R55" s="1189"/>
      <c r="S55" s="1189"/>
      <c r="T55" s="1189"/>
      <c r="U55" s="1189"/>
      <c r="V55" s="1189"/>
      <c r="W55" s="1189"/>
      <c r="X55" s="1189"/>
      <c r="Y55" s="1189"/>
    </row>
    <row r="56" spans="2:25" ht="14" x14ac:dyDescent="0.15">
      <c r="B56" s="159" t="s">
        <v>2125</v>
      </c>
      <c r="C56" s="159"/>
      <c r="D56" s="1195">
        <f t="shared" si="4"/>
        <v>4.8594544134425899</v>
      </c>
      <c r="E56" s="1195">
        <f t="shared" si="4"/>
        <v>4.3667149958574978</v>
      </c>
      <c r="F56" s="1195">
        <f t="shared" si="4"/>
        <v>2.899731792861564</v>
      </c>
      <c r="G56" s="1195">
        <f t="shared" si="4"/>
        <v>1.4445015416238438</v>
      </c>
      <c r="H56" s="1195">
        <f t="shared" si="4"/>
        <v>0.36016297662976626</v>
      </c>
      <c r="I56" s="1195">
        <f t="shared" si="4"/>
        <v>2.1938085327783563</v>
      </c>
      <c r="J56" s="1195">
        <f t="shared" si="4"/>
        <v>0</v>
      </c>
      <c r="K56" s="1195">
        <f t="shared" si="4"/>
        <v>0</v>
      </c>
      <c r="L56" s="1189"/>
      <c r="M56" s="1189"/>
      <c r="N56" s="1189"/>
      <c r="O56" s="1189"/>
      <c r="P56" s="1189"/>
      <c r="Q56" s="1189"/>
      <c r="R56" s="1189"/>
      <c r="S56" s="1189"/>
      <c r="T56" s="1189"/>
      <c r="U56" s="1189"/>
      <c r="V56" s="1189"/>
      <c r="W56" s="1189"/>
      <c r="X56" s="1189"/>
      <c r="Y56" s="1189"/>
    </row>
    <row r="57" spans="2:25" ht="14" x14ac:dyDescent="0.15">
      <c r="B57" s="159" t="s">
        <v>2127</v>
      </c>
      <c r="C57" s="159"/>
      <c r="D57" s="1195">
        <f t="shared" si="4"/>
        <v>0.58431006465442725</v>
      </c>
      <c r="E57" s="1195">
        <f t="shared" si="4"/>
        <v>0.3500414250207125</v>
      </c>
      <c r="F57" s="1195">
        <f t="shared" si="4"/>
        <v>0.34866927996698993</v>
      </c>
      <c r="G57" s="1195">
        <f t="shared" si="4"/>
        <v>0.17368961973278521</v>
      </c>
      <c r="H57" s="1195">
        <f t="shared" si="4"/>
        <v>4.3306683066830672E-2</v>
      </c>
      <c r="I57" s="1195">
        <f t="shared" si="4"/>
        <v>0</v>
      </c>
      <c r="J57" s="1195">
        <f t="shared" si="4"/>
        <v>0</v>
      </c>
      <c r="K57" s="1195">
        <f t="shared" si="4"/>
        <v>0</v>
      </c>
      <c r="L57" s="1189"/>
      <c r="M57" s="1189"/>
      <c r="N57" s="1189"/>
      <c r="O57" s="1189"/>
      <c r="P57" s="1189"/>
      <c r="Q57" s="1189"/>
      <c r="R57" s="1189"/>
      <c r="S57" s="1189"/>
      <c r="T57" s="1189"/>
      <c r="U57" s="1189"/>
      <c r="V57" s="1189"/>
      <c r="W57" s="1189"/>
      <c r="X57" s="1189"/>
      <c r="Y57" s="1189"/>
    </row>
    <row r="58" spans="2:25" ht="14" x14ac:dyDescent="0.15">
      <c r="B58" s="159" t="s">
        <v>2129</v>
      </c>
      <c r="C58" s="159"/>
      <c r="D58" s="1195">
        <f t="shared" si="4"/>
        <v>0</v>
      </c>
      <c r="E58" s="1195">
        <f t="shared" si="4"/>
        <v>0</v>
      </c>
      <c r="F58" s="1195">
        <f t="shared" si="4"/>
        <v>0</v>
      </c>
      <c r="G58" s="1195">
        <f t="shared" si="4"/>
        <v>0</v>
      </c>
      <c r="H58" s="1195">
        <f t="shared" si="4"/>
        <v>0</v>
      </c>
      <c r="I58" s="1195">
        <f t="shared" si="4"/>
        <v>0.24589620187304895</v>
      </c>
      <c r="J58" s="1195">
        <f t="shared" si="4"/>
        <v>0</v>
      </c>
      <c r="K58" s="1195">
        <f t="shared" si="4"/>
        <v>0</v>
      </c>
      <c r="L58" s="1189"/>
      <c r="M58" s="159"/>
      <c r="N58" s="1189"/>
      <c r="O58" s="1189"/>
      <c r="P58" s="1189"/>
      <c r="Q58" s="1189"/>
      <c r="R58" s="1189"/>
      <c r="S58" s="1189"/>
      <c r="T58" s="1189"/>
      <c r="U58" s="159"/>
      <c r="V58" s="1189"/>
      <c r="W58" s="1189"/>
      <c r="X58" s="1189"/>
      <c r="Y58" s="1189"/>
    </row>
    <row r="59" spans="2:25" ht="14" x14ac:dyDescent="0.15">
      <c r="B59" s="159" t="s">
        <v>2131</v>
      </c>
      <c r="C59" s="159"/>
      <c r="D59" s="1195">
        <f t="shared" si="4"/>
        <v>0</v>
      </c>
      <c r="E59" s="1195">
        <f t="shared" si="4"/>
        <v>0</v>
      </c>
      <c r="F59" s="1195">
        <f t="shared" si="4"/>
        <v>0</v>
      </c>
      <c r="G59" s="1195">
        <f t="shared" si="4"/>
        <v>0</v>
      </c>
      <c r="H59" s="1195">
        <f t="shared" si="4"/>
        <v>0</v>
      </c>
      <c r="I59" s="1195">
        <f t="shared" si="4"/>
        <v>0</v>
      </c>
      <c r="J59" s="1195">
        <f t="shared" si="4"/>
        <v>1.7763057809330629</v>
      </c>
      <c r="K59" s="1195">
        <f t="shared" si="4"/>
        <v>0</v>
      </c>
      <c r="L59" s="1189"/>
      <c r="M59" s="159"/>
      <c r="N59" s="1189"/>
      <c r="O59" s="1189"/>
      <c r="P59" s="1189"/>
      <c r="Q59" s="1189"/>
      <c r="R59" s="1189"/>
      <c r="S59" s="1189"/>
      <c r="T59" s="1189"/>
      <c r="U59" s="159"/>
      <c r="V59" s="1189"/>
      <c r="W59" s="1189"/>
      <c r="X59" s="1189"/>
      <c r="Y59" s="1189"/>
    </row>
    <row r="60" spans="2:25" ht="14" x14ac:dyDescent="0.15">
      <c r="B60" s="159" t="s">
        <v>2133</v>
      </c>
      <c r="C60" s="159"/>
      <c r="D60" s="1195">
        <f t="shared" si="4"/>
        <v>0</v>
      </c>
      <c r="E60" s="1195">
        <f t="shared" si="4"/>
        <v>0</v>
      </c>
      <c r="F60" s="1195">
        <f t="shared" si="4"/>
        <v>0</v>
      </c>
      <c r="G60" s="1195">
        <f t="shared" si="4"/>
        <v>0</v>
      </c>
      <c r="H60" s="1195">
        <f t="shared" si="4"/>
        <v>0</v>
      </c>
      <c r="I60" s="1195">
        <f t="shared" si="4"/>
        <v>0</v>
      </c>
      <c r="J60" s="1195">
        <f t="shared" si="4"/>
        <v>0</v>
      </c>
      <c r="K60" s="1195">
        <f t="shared" si="4"/>
        <v>1.5306215202817861</v>
      </c>
      <c r="L60" s="1189"/>
      <c r="M60" s="159"/>
      <c r="N60" s="1189"/>
      <c r="O60" s="1189"/>
      <c r="P60" s="1189"/>
      <c r="Q60" s="1189"/>
      <c r="R60" s="1189"/>
      <c r="S60" s="1189"/>
      <c r="T60" s="1189"/>
      <c r="U60" s="159"/>
      <c r="V60" s="1189"/>
      <c r="W60" s="1189"/>
      <c r="X60" s="1189"/>
      <c r="Y60" s="1189"/>
    </row>
    <row r="61" spans="2:25" ht="14" x14ac:dyDescent="0.15">
      <c r="B61" s="159" t="s">
        <v>2145</v>
      </c>
      <c r="C61" s="159"/>
      <c r="D61" s="1195">
        <f t="shared" si="4"/>
        <v>13.75110173833591</v>
      </c>
      <c r="E61" s="1195">
        <f t="shared" si="4"/>
        <v>13.729740250548518</v>
      </c>
      <c r="F61" s="1195">
        <f t="shared" si="4"/>
        <v>13.67592034859671</v>
      </c>
      <c r="G61" s="1195">
        <f t="shared" si="4"/>
        <v>0</v>
      </c>
      <c r="H61" s="1195">
        <f t="shared" si="4"/>
        <v>0</v>
      </c>
      <c r="I61" s="1195">
        <f t="shared" si="4"/>
        <v>0</v>
      </c>
      <c r="J61" s="1195">
        <f t="shared" si="4"/>
        <v>0</v>
      </c>
      <c r="K61" s="1195">
        <f t="shared" si="4"/>
        <v>0</v>
      </c>
      <c r="L61" s="1189"/>
      <c r="M61" s="159"/>
      <c r="N61" s="1189"/>
      <c r="O61" s="1189"/>
      <c r="P61" s="1189"/>
      <c r="Q61" s="1189"/>
      <c r="R61" s="1189"/>
      <c r="S61" s="1189"/>
      <c r="T61" s="1189"/>
      <c r="U61" s="159"/>
      <c r="V61" s="1189"/>
      <c r="W61" s="1189"/>
      <c r="X61" s="1189"/>
      <c r="Y61" s="1189"/>
    </row>
    <row r="62" spans="2:25" ht="14" x14ac:dyDescent="0.15">
      <c r="B62" s="159" t="s">
        <v>2146</v>
      </c>
      <c r="C62" s="159"/>
      <c r="D62" s="1195">
        <f t="shared" si="4"/>
        <v>0</v>
      </c>
      <c r="E62" s="1195">
        <f t="shared" si="4"/>
        <v>0</v>
      </c>
      <c r="F62" s="1195">
        <f t="shared" si="4"/>
        <v>0</v>
      </c>
      <c r="G62" s="1195">
        <f t="shared" si="4"/>
        <v>0</v>
      </c>
      <c r="H62" s="1195">
        <f t="shared" si="4"/>
        <v>0</v>
      </c>
      <c r="I62" s="1195">
        <f t="shared" si="4"/>
        <v>0</v>
      </c>
      <c r="J62" s="1195">
        <f t="shared" si="4"/>
        <v>7.5706353596820142</v>
      </c>
      <c r="K62" s="1195">
        <f t="shared" si="4"/>
        <v>7.1245347463958995</v>
      </c>
      <c r="L62" s="1189"/>
      <c r="M62" s="1189"/>
      <c r="N62" s="1189"/>
      <c r="O62" s="1189"/>
      <c r="P62" s="1189"/>
      <c r="Q62" s="1189"/>
      <c r="R62" s="1189"/>
      <c r="S62" s="1189"/>
      <c r="T62" s="1189"/>
      <c r="U62" s="1189"/>
      <c r="V62" s="1189"/>
      <c r="W62" s="1189"/>
      <c r="X62" s="1189"/>
      <c r="Y62" s="1189"/>
    </row>
    <row r="63" spans="2:25" ht="14" x14ac:dyDescent="0.15">
      <c r="B63" s="159" t="s">
        <v>2138</v>
      </c>
      <c r="C63" s="159"/>
      <c r="D63" s="1195">
        <f t="shared" si="4"/>
        <v>0</v>
      </c>
      <c r="E63" s="1195">
        <f t="shared" si="4"/>
        <v>0</v>
      </c>
      <c r="F63" s="1195">
        <f t="shared" si="4"/>
        <v>0</v>
      </c>
      <c r="G63" s="1195">
        <f t="shared" si="4"/>
        <v>16.316546762589933</v>
      </c>
      <c r="H63" s="1195">
        <f t="shared" si="4"/>
        <v>16.273062730627309</v>
      </c>
      <c r="I63" s="1195">
        <f t="shared" si="4"/>
        <v>16.520291363163377</v>
      </c>
      <c r="J63" s="1195">
        <f t="shared" si="4"/>
        <v>0</v>
      </c>
      <c r="K63" s="1195">
        <f t="shared" si="4"/>
        <v>0</v>
      </c>
      <c r="L63" s="1189"/>
      <c r="M63" s="1189"/>
      <c r="N63" s="1189"/>
      <c r="O63" s="1189"/>
      <c r="P63" s="1189"/>
      <c r="Q63" s="1189"/>
      <c r="R63" s="1189"/>
      <c r="S63" s="1189"/>
      <c r="T63" s="1189"/>
      <c r="U63" s="1189"/>
      <c r="V63" s="1189"/>
      <c r="W63" s="1189"/>
      <c r="X63" s="1189"/>
      <c r="Y63" s="1189"/>
    </row>
    <row r="64" spans="2:25" ht="14" x14ac:dyDescent="0.15">
      <c r="B64" s="159" t="s">
        <v>2149</v>
      </c>
      <c r="C64" s="159"/>
      <c r="D64" s="1195">
        <f t="shared" ref="D64:K64" si="5">SUM(D55:D63)</f>
        <v>23.285209541814112</v>
      </c>
      <c r="E64" s="1195">
        <f t="shared" si="5"/>
        <v>24.572480515668651</v>
      </c>
      <c r="F64" s="1195">
        <f t="shared" si="5"/>
        <v>24.24668577050717</v>
      </c>
      <c r="G64" s="1195">
        <f t="shared" si="5"/>
        <v>27.661767728674207</v>
      </c>
      <c r="H64" s="1195">
        <f t="shared" si="5"/>
        <v>28.196596965969661</v>
      </c>
      <c r="I64" s="1195">
        <f t="shared" si="5"/>
        <v>28.808487252861607</v>
      </c>
      <c r="J64" s="1195">
        <f t="shared" si="5"/>
        <v>9.3469411406150762</v>
      </c>
      <c r="K64" s="1195">
        <f t="shared" si="5"/>
        <v>8.655156266677686</v>
      </c>
      <c r="L64" s="1189"/>
      <c r="M64" s="1189"/>
      <c r="N64" s="1189"/>
      <c r="O64" s="1189"/>
      <c r="P64" s="1189"/>
      <c r="Q64" s="1189"/>
      <c r="R64" s="1189"/>
      <c r="S64" s="1189"/>
      <c r="T64" s="1189"/>
      <c r="U64" s="1189"/>
      <c r="V64" s="1189"/>
      <c r="W64" s="1189"/>
      <c r="X64" s="1189"/>
      <c r="Y64" s="1189"/>
    </row>
    <row r="65" spans="2:25" ht="14" x14ac:dyDescent="0.15">
      <c r="B65" s="159"/>
      <c r="C65" s="159"/>
      <c r="D65" s="159"/>
      <c r="E65" s="159"/>
      <c r="F65" s="159"/>
      <c r="G65" s="159"/>
      <c r="H65" s="159"/>
      <c r="I65" s="159"/>
      <c r="J65" s="159"/>
      <c r="K65" s="159"/>
      <c r="L65" s="1189"/>
      <c r="M65" s="1189"/>
      <c r="N65" s="1189"/>
      <c r="O65" s="1189"/>
      <c r="P65" s="1189"/>
      <c r="Q65" s="1189"/>
      <c r="R65" s="1189"/>
      <c r="S65" s="1189"/>
      <c r="T65" s="1189"/>
      <c r="U65" s="1189"/>
      <c r="V65" s="1189"/>
      <c r="W65" s="1189"/>
      <c r="X65" s="1189"/>
      <c r="Y65" s="1189"/>
    </row>
    <row r="66" spans="2:25" ht="14" x14ac:dyDescent="0.15">
      <c r="B66" s="507" t="s">
        <v>2150</v>
      </c>
      <c r="C66" s="159"/>
      <c r="D66" s="701" t="s">
        <v>736</v>
      </c>
      <c r="E66" s="701" t="s">
        <v>737</v>
      </c>
      <c r="F66" s="701" t="s">
        <v>738</v>
      </c>
      <c r="G66" s="701" t="s">
        <v>739</v>
      </c>
      <c r="H66" s="701" t="s">
        <v>740</v>
      </c>
      <c r="I66" s="701" t="s">
        <v>741</v>
      </c>
      <c r="J66" s="701" t="s">
        <v>742</v>
      </c>
      <c r="K66" s="701" t="s">
        <v>743</v>
      </c>
      <c r="L66" s="1189"/>
      <c r="M66" s="1189"/>
      <c r="N66" s="1189"/>
      <c r="O66" s="1189"/>
      <c r="P66" s="1189"/>
      <c r="Q66" s="1189"/>
      <c r="R66" s="1189"/>
      <c r="S66" s="1189"/>
      <c r="T66" s="1189"/>
      <c r="U66" s="1189"/>
      <c r="V66" s="1189"/>
      <c r="W66" s="1189"/>
      <c r="X66" s="1189"/>
      <c r="Y66" s="1189"/>
    </row>
    <row r="67" spans="2:25" ht="14" x14ac:dyDescent="0.15">
      <c r="B67" s="159" t="s">
        <v>2151</v>
      </c>
      <c r="C67" s="159"/>
      <c r="D67" s="1191">
        <v>7.5</v>
      </c>
      <c r="E67" s="1191">
        <v>7.5</v>
      </c>
      <c r="F67" s="1191">
        <v>7.5</v>
      </c>
      <c r="G67" s="1191">
        <v>7.5</v>
      </c>
      <c r="H67" s="1191">
        <v>7.5</v>
      </c>
      <c r="I67" s="1191">
        <v>7.5</v>
      </c>
      <c r="J67" s="1191">
        <v>3.5</v>
      </c>
      <c r="K67" s="1191">
        <v>3.5</v>
      </c>
      <c r="L67" s="1189"/>
      <c r="M67" s="1189"/>
      <c r="N67" s="1189"/>
      <c r="O67" s="1189"/>
      <c r="P67" s="1189"/>
      <c r="Q67" s="1189"/>
      <c r="R67" s="1189"/>
      <c r="S67" s="1189"/>
      <c r="T67" s="1189"/>
      <c r="U67" s="1189"/>
      <c r="V67" s="1189"/>
      <c r="W67" s="1189"/>
      <c r="X67" s="1189"/>
      <c r="Y67" s="1189"/>
    </row>
    <row r="68" spans="2:25" ht="14" x14ac:dyDescent="0.15">
      <c r="B68" s="159" t="s">
        <v>2152</v>
      </c>
      <c r="C68" s="159"/>
      <c r="D68" s="344">
        <f>0.15*D67</f>
        <v>1.125</v>
      </c>
      <c r="E68" s="344">
        <f t="shared" ref="E68:K68" si="6">0.15*E67</f>
        <v>1.125</v>
      </c>
      <c r="F68" s="344">
        <f t="shared" si="6"/>
        <v>1.125</v>
      </c>
      <c r="G68" s="344">
        <f t="shared" si="6"/>
        <v>1.125</v>
      </c>
      <c r="H68" s="344">
        <f t="shared" si="6"/>
        <v>1.125</v>
      </c>
      <c r="I68" s="344">
        <f t="shared" si="6"/>
        <v>1.125</v>
      </c>
      <c r="J68" s="344">
        <f t="shared" si="6"/>
        <v>0.52500000000000002</v>
      </c>
      <c r="K68" s="344">
        <f t="shared" si="6"/>
        <v>0.52500000000000002</v>
      </c>
      <c r="L68" s="1189"/>
      <c r="M68" s="1189"/>
      <c r="N68" s="1189"/>
      <c r="O68" s="1189"/>
      <c r="P68" s="1189"/>
      <c r="Q68" s="1189"/>
      <c r="R68" s="1189"/>
      <c r="S68" s="1189"/>
      <c r="T68" s="1189"/>
      <c r="U68" s="1189"/>
      <c r="V68" s="1189"/>
      <c r="W68" s="1189"/>
      <c r="X68" s="1189"/>
      <c r="Y68" s="1189"/>
    </row>
    <row r="69" spans="2:25" ht="14" x14ac:dyDescent="0.15">
      <c r="B69" s="159" t="s">
        <v>2153</v>
      </c>
      <c r="D69" s="1195">
        <f t="shared" ref="D69:K69" si="7">(D67*($E$27/1)^$E$28)/$E$27</f>
        <v>6.1675511957016651</v>
      </c>
      <c r="E69" s="1195">
        <f t="shared" si="7"/>
        <v>6.1675511957016651</v>
      </c>
      <c r="F69" s="1195">
        <f t="shared" si="7"/>
        <v>6.1675511957016651</v>
      </c>
      <c r="G69" s="1195">
        <f t="shared" si="7"/>
        <v>6.1675511957016651</v>
      </c>
      <c r="H69" s="1195">
        <f t="shared" si="7"/>
        <v>6.1675511957016651</v>
      </c>
      <c r="I69" s="1195">
        <f t="shared" si="7"/>
        <v>6.1675511957016651</v>
      </c>
      <c r="J69" s="1195">
        <f t="shared" si="7"/>
        <v>2.8781905579941105</v>
      </c>
      <c r="K69" s="1195">
        <f t="shared" si="7"/>
        <v>2.8781905579941105</v>
      </c>
      <c r="L69" s="1189"/>
      <c r="M69" s="1189"/>
      <c r="N69" s="1189"/>
      <c r="O69" s="1189"/>
      <c r="P69" s="1189"/>
      <c r="Q69" s="1189"/>
      <c r="R69" s="1189"/>
      <c r="S69" s="1189"/>
      <c r="T69" s="1189"/>
      <c r="U69" s="1189"/>
      <c r="V69" s="1189"/>
      <c r="W69" s="1189"/>
      <c r="X69" s="1189"/>
      <c r="Y69" s="1189"/>
    </row>
    <row r="70" spans="2:25" ht="14" x14ac:dyDescent="0.15">
      <c r="B70" s="159" t="s">
        <v>2154</v>
      </c>
      <c r="D70" s="1197">
        <f>5</f>
        <v>5</v>
      </c>
      <c r="E70" s="1197">
        <f>5</f>
        <v>5</v>
      </c>
      <c r="F70" s="1197">
        <f>5</f>
        <v>5</v>
      </c>
      <c r="G70" s="1197">
        <f>5</f>
        <v>5</v>
      </c>
      <c r="H70" s="1197">
        <f>5</f>
        <v>5</v>
      </c>
      <c r="I70" s="1197">
        <f>5</f>
        <v>5</v>
      </c>
      <c r="J70" s="1197">
        <f>5</f>
        <v>5</v>
      </c>
      <c r="K70" s="1197">
        <f>5</f>
        <v>5</v>
      </c>
      <c r="L70" s="1189"/>
      <c r="M70" s="1189"/>
      <c r="N70" s="1189"/>
      <c r="O70" s="1189"/>
      <c r="P70" s="1189"/>
      <c r="Q70" s="1189"/>
      <c r="R70" s="1189"/>
      <c r="S70" s="1189"/>
      <c r="T70" s="1189"/>
      <c r="U70" s="1189"/>
      <c r="V70" s="1189"/>
      <c r="W70" s="1189"/>
      <c r="X70" s="1189"/>
      <c r="Y70" s="1189"/>
    </row>
    <row r="71" spans="2:25" ht="14" x14ac:dyDescent="0.15">
      <c r="B71" s="159" t="s">
        <v>2155</v>
      </c>
      <c r="C71" s="159"/>
      <c r="D71" s="1195">
        <f>D70/100*(D69+D64)</f>
        <v>1.472638036875789</v>
      </c>
      <c r="E71" s="1195">
        <f t="shared" ref="E71:K71" si="8">E70/100*(E69+E64)</f>
        <v>1.537001585568516</v>
      </c>
      <c r="F71" s="1195">
        <f t="shared" si="8"/>
        <v>1.5207118483104418</v>
      </c>
      <c r="G71" s="1195">
        <f t="shared" si="8"/>
        <v>1.6914659462187935</v>
      </c>
      <c r="H71" s="1195">
        <f t="shared" si="8"/>
        <v>1.7182074080835663</v>
      </c>
      <c r="I71" s="1195">
        <f t="shared" si="8"/>
        <v>1.7488019224281637</v>
      </c>
      <c r="J71" s="1195">
        <f t="shared" si="8"/>
        <v>0.61125658493045931</v>
      </c>
      <c r="K71" s="1195">
        <f t="shared" si="8"/>
        <v>0.57666734123358976</v>
      </c>
      <c r="L71" s="1189"/>
      <c r="M71" s="1189"/>
      <c r="N71" s="1189"/>
      <c r="O71" s="1189"/>
      <c r="P71" s="1189"/>
      <c r="Q71" s="1189"/>
      <c r="R71" s="1189"/>
      <c r="S71" s="1189"/>
      <c r="T71" s="1189"/>
      <c r="U71" s="1189"/>
      <c r="V71" s="1189"/>
      <c r="W71" s="1189"/>
      <c r="X71" s="1189"/>
      <c r="Y71" s="1189"/>
    </row>
    <row r="72" spans="2:25" ht="14" x14ac:dyDescent="0.15">
      <c r="B72" s="159"/>
      <c r="C72" s="159"/>
      <c r="D72" s="159"/>
      <c r="E72" s="159"/>
      <c r="F72" s="159"/>
      <c r="G72" s="159"/>
      <c r="H72" s="159"/>
      <c r="I72" s="159"/>
      <c r="J72" s="159"/>
      <c r="K72" s="159"/>
      <c r="L72" s="1189"/>
      <c r="M72" s="1189"/>
      <c r="N72" s="1189"/>
      <c r="O72" s="1189"/>
      <c r="P72" s="1189"/>
      <c r="Q72" s="1189"/>
      <c r="R72" s="1189"/>
      <c r="S72" s="1189"/>
      <c r="T72" s="1189"/>
      <c r="U72" s="1189"/>
      <c r="V72" s="1189"/>
      <c r="W72" s="1189"/>
      <c r="X72" s="1189"/>
      <c r="Y72" s="1189"/>
    </row>
    <row r="73" spans="2:25" ht="14" x14ac:dyDescent="0.15">
      <c r="B73" s="507" t="s">
        <v>2156</v>
      </c>
      <c r="C73" s="159"/>
      <c r="D73" s="701" t="s">
        <v>736</v>
      </c>
      <c r="E73" s="701" t="s">
        <v>737</v>
      </c>
      <c r="F73" s="701" t="s">
        <v>738</v>
      </c>
      <c r="G73" s="701" t="s">
        <v>739</v>
      </c>
      <c r="H73" s="701" t="s">
        <v>740</v>
      </c>
      <c r="I73" s="701" t="s">
        <v>741</v>
      </c>
      <c r="J73" s="701" t="s">
        <v>742</v>
      </c>
      <c r="K73" s="701" t="s">
        <v>743</v>
      </c>
      <c r="L73" s="159"/>
      <c r="M73" s="1189"/>
      <c r="N73" s="1189"/>
      <c r="O73" s="1189"/>
      <c r="P73" s="1189"/>
      <c r="Q73" s="1189"/>
      <c r="R73" s="1189"/>
      <c r="S73" s="1189"/>
      <c r="T73" s="1189"/>
      <c r="U73" s="1189"/>
      <c r="V73" s="1189"/>
      <c r="W73" s="1189"/>
      <c r="X73" s="1189"/>
      <c r="Y73" s="1189"/>
    </row>
    <row r="74" spans="2:25" ht="14" x14ac:dyDescent="0.15">
      <c r="B74" s="159" t="s">
        <v>2157</v>
      </c>
      <c r="C74" s="159"/>
      <c r="D74" s="1195">
        <f>D64+D69+D71</f>
        <v>30.925398774391567</v>
      </c>
      <c r="E74" s="1195">
        <f t="shared" ref="E74:K74" si="9">E64+E69+E71</f>
        <v>32.277033296938832</v>
      </c>
      <c r="F74" s="1195">
        <f t="shared" si="9"/>
        <v>31.934948814519277</v>
      </c>
      <c r="G74" s="1195">
        <f t="shared" si="9"/>
        <v>35.52078487059466</v>
      </c>
      <c r="H74" s="1195">
        <f t="shared" si="9"/>
        <v>36.082355569754888</v>
      </c>
      <c r="I74" s="1195">
        <f t="shared" si="9"/>
        <v>36.724840370991437</v>
      </c>
      <c r="J74" s="1195">
        <f t="shared" si="9"/>
        <v>12.836388283539645</v>
      </c>
      <c r="K74" s="1195">
        <f t="shared" si="9"/>
        <v>12.110014165905385</v>
      </c>
      <c r="L74" s="1189"/>
      <c r="M74" s="1189"/>
      <c r="N74" s="1189"/>
      <c r="O74" s="1189"/>
      <c r="P74" s="1189"/>
      <c r="Q74" s="1189"/>
      <c r="R74" s="1189"/>
      <c r="S74" s="1189"/>
      <c r="T74" s="1189"/>
      <c r="U74" s="1189"/>
      <c r="V74" s="1189"/>
      <c r="W74" s="1189"/>
      <c r="X74" s="1189"/>
      <c r="Y74" s="1189"/>
    </row>
    <row r="75" spans="2:25" ht="14" x14ac:dyDescent="0.15">
      <c r="B75" s="1189"/>
      <c r="C75" s="1189"/>
      <c r="D75" s="1189"/>
      <c r="E75" s="1189"/>
      <c r="F75" s="1189"/>
      <c r="G75" s="1189"/>
      <c r="H75" s="1189"/>
      <c r="I75" s="1189"/>
      <c r="J75" s="1189"/>
      <c r="K75" s="1189"/>
      <c r="L75" s="1189"/>
      <c r="M75" s="1189"/>
      <c r="N75" s="1189"/>
      <c r="O75" s="1189"/>
      <c r="P75" s="1189"/>
      <c r="Q75" s="1189"/>
      <c r="R75" s="1189"/>
      <c r="S75" s="1189"/>
      <c r="T75" s="1189"/>
      <c r="U75" s="1189"/>
      <c r="V75" s="1189"/>
      <c r="W75" s="1189"/>
      <c r="X75" s="1189"/>
      <c r="Y75" s="1189"/>
    </row>
    <row r="76" spans="2:25" ht="14" x14ac:dyDescent="0.15">
      <c r="B76" s="159" t="s">
        <v>2158</v>
      </c>
      <c r="C76" s="159"/>
      <c r="D76" s="1195">
        <f t="shared" ref="D76:K76" si="10">D68+$E$25*D64/100</f>
        <v>3.4535209541814114</v>
      </c>
      <c r="E76" s="1195">
        <f t="shared" si="10"/>
        <v>3.5822480515668649</v>
      </c>
      <c r="F76" s="1195">
        <f t="shared" si="10"/>
        <v>3.549668577050717</v>
      </c>
      <c r="G76" s="1195">
        <f t="shared" si="10"/>
        <v>3.8911767728674205</v>
      </c>
      <c r="H76" s="1195">
        <f t="shared" si="10"/>
        <v>3.944659696596966</v>
      </c>
      <c r="I76" s="1195">
        <f t="shared" si="10"/>
        <v>4.0058487252861603</v>
      </c>
      <c r="J76" s="1195">
        <f t="shared" si="10"/>
        <v>1.4596941140615076</v>
      </c>
      <c r="K76" s="1195">
        <f t="shared" si="10"/>
        <v>1.3905156266677685</v>
      </c>
      <c r="L76" s="1189"/>
      <c r="M76" s="1189"/>
      <c r="N76" s="1189"/>
      <c r="O76" s="1189"/>
      <c r="P76" s="1189"/>
      <c r="Q76" s="1189"/>
      <c r="R76" s="1189"/>
      <c r="S76" s="1189"/>
      <c r="T76" s="1189"/>
      <c r="U76" s="1189"/>
      <c r="V76" s="1189"/>
      <c r="W76" s="1189"/>
      <c r="X76" s="1189"/>
      <c r="Y76" s="1189"/>
    </row>
    <row r="77" spans="2:25" ht="14" x14ac:dyDescent="0.15">
      <c r="B77" s="159" t="s">
        <v>2159</v>
      </c>
      <c r="C77" s="159"/>
      <c r="D77" s="1192">
        <f t="shared" ref="D77:K77" si="11">D$74+D76</f>
        <v>34.378919728572981</v>
      </c>
      <c r="E77" s="1192">
        <f t="shared" si="11"/>
        <v>35.859281348505696</v>
      </c>
      <c r="F77" s="1192">
        <f t="shared" si="11"/>
        <v>35.484617391569998</v>
      </c>
      <c r="G77" s="1192">
        <f t="shared" si="11"/>
        <v>39.411961643462078</v>
      </c>
      <c r="H77" s="1192">
        <f t="shared" si="11"/>
        <v>40.027015266351853</v>
      </c>
      <c r="I77" s="1192">
        <f t="shared" si="11"/>
        <v>40.730689096277601</v>
      </c>
      <c r="J77" s="1192">
        <f t="shared" si="11"/>
        <v>14.296082397601152</v>
      </c>
      <c r="K77" s="1192">
        <f t="shared" si="11"/>
        <v>13.500529792573154</v>
      </c>
      <c r="L77" s="1189"/>
      <c r="M77" s="1189"/>
      <c r="N77" s="1189"/>
      <c r="O77" s="1189"/>
      <c r="P77" s="1189"/>
      <c r="Q77" s="1189"/>
      <c r="R77" s="1189"/>
      <c r="S77" s="1189"/>
      <c r="T77" s="1189"/>
      <c r="U77" s="1189"/>
      <c r="V77" s="1189"/>
      <c r="W77" s="1189"/>
      <c r="X77" s="1189"/>
      <c r="Y77" s="1189"/>
    </row>
    <row r="78" spans="2:25" ht="14" x14ac:dyDescent="0.15">
      <c r="B78" s="159" t="s">
        <v>2160</v>
      </c>
      <c r="C78" s="159"/>
      <c r="D78" s="1192">
        <f t="shared" ref="D78:K78" si="12">D74-D76</f>
        <v>27.471877820210157</v>
      </c>
      <c r="E78" s="1192">
        <f t="shared" si="12"/>
        <v>28.694785245371968</v>
      </c>
      <c r="F78" s="1192">
        <f t="shared" si="12"/>
        <v>28.38528023746856</v>
      </c>
      <c r="G78" s="1192">
        <f t="shared" si="12"/>
        <v>31.629608097727239</v>
      </c>
      <c r="H78" s="1192">
        <f t="shared" si="12"/>
        <v>32.137695873157924</v>
      </c>
      <c r="I78" s="1192">
        <f t="shared" si="12"/>
        <v>32.718991645705273</v>
      </c>
      <c r="J78" s="1192">
        <f t="shared" si="12"/>
        <v>11.376694169478137</v>
      </c>
      <c r="K78" s="1192">
        <f t="shared" si="12"/>
        <v>10.719498539237616</v>
      </c>
      <c r="L78" s="1189"/>
      <c r="M78" s="1189"/>
      <c r="N78" s="1189"/>
      <c r="O78" s="1189"/>
      <c r="P78" s="1189"/>
      <c r="Q78" s="1189"/>
      <c r="R78" s="1189"/>
      <c r="S78" s="1189"/>
      <c r="T78" s="1189"/>
      <c r="U78" s="1189"/>
      <c r="V78" s="1189"/>
      <c r="W78" s="1189"/>
      <c r="X78" s="1189"/>
      <c r="Y78" s="1189"/>
    </row>
    <row r="79" spans="2:25" ht="14" thickBot="1" x14ac:dyDescent="0.2"/>
    <row r="80" spans="2:25" ht="21" thickBot="1" x14ac:dyDescent="0.25">
      <c r="B80" s="1262" t="s">
        <v>2161</v>
      </c>
      <c r="C80" s="1263"/>
      <c r="D80" s="1263"/>
      <c r="E80" s="1263"/>
      <c r="F80" s="1263"/>
      <c r="G80" s="1263"/>
      <c r="H80" s="1263"/>
      <c r="I80" s="1263"/>
      <c r="J80" s="1263"/>
      <c r="K80" s="1263"/>
      <c r="L80" s="1263"/>
      <c r="M80" s="1264"/>
    </row>
    <row r="82" spans="2:14" ht="14" x14ac:dyDescent="0.15">
      <c r="B82" s="507" t="s">
        <v>2162</v>
      </c>
      <c r="E82" s="1189"/>
    </row>
    <row r="83" spans="2:14" ht="14" x14ac:dyDescent="0.15">
      <c r="B83" s="1189"/>
      <c r="D83" s="159" t="s">
        <v>736</v>
      </c>
      <c r="E83" s="159" t="s">
        <v>737</v>
      </c>
      <c r="F83" s="159" t="s">
        <v>738</v>
      </c>
      <c r="G83" s="159" t="s">
        <v>739</v>
      </c>
      <c r="H83" s="159" t="s">
        <v>740</v>
      </c>
      <c r="I83" s="159" t="s">
        <v>741</v>
      </c>
      <c r="J83" s="159" t="s">
        <v>742</v>
      </c>
      <c r="K83" s="159" t="s">
        <v>743</v>
      </c>
    </row>
    <row r="84" spans="2:14" ht="14" x14ac:dyDescent="0.15">
      <c r="B84" s="1189"/>
      <c r="D84" s="159"/>
      <c r="E84" s="159"/>
      <c r="F84" s="159"/>
      <c r="G84" s="159"/>
      <c r="H84" s="159"/>
      <c r="I84" s="159"/>
      <c r="J84" s="159"/>
      <c r="K84" s="159"/>
    </row>
    <row r="85" spans="2:14" x14ac:dyDescent="0.15">
      <c r="B85" s="159" t="s">
        <v>2163</v>
      </c>
      <c r="D85" s="159">
        <v>96.41</v>
      </c>
      <c r="E85" s="159">
        <v>96.56</v>
      </c>
      <c r="F85" s="159">
        <v>96.94</v>
      </c>
      <c r="G85" s="159">
        <v>97.3</v>
      </c>
      <c r="H85" s="159">
        <v>97.56</v>
      </c>
      <c r="I85" s="159">
        <v>96.1</v>
      </c>
      <c r="J85" s="159">
        <v>157.76</v>
      </c>
      <c r="K85" s="159">
        <v>176.02</v>
      </c>
    </row>
    <row r="86" spans="2:14" ht="14" x14ac:dyDescent="0.15">
      <c r="B86" s="159" t="s">
        <v>2164</v>
      </c>
      <c r="D86" s="159">
        <f>D85/1000</f>
        <v>9.6409999999999996E-2</v>
      </c>
      <c r="E86" s="159">
        <f t="shared" ref="E86:K86" si="13">E85/1000</f>
        <v>9.6560000000000007E-2</v>
      </c>
      <c r="F86" s="159">
        <f t="shared" si="13"/>
        <v>9.6939999999999998E-2</v>
      </c>
      <c r="G86" s="159">
        <f t="shared" si="13"/>
        <v>9.7299999999999998E-2</v>
      </c>
      <c r="H86" s="159">
        <f t="shared" si="13"/>
        <v>9.7560000000000008E-2</v>
      </c>
      <c r="I86" s="159">
        <f t="shared" si="13"/>
        <v>9.6099999999999991E-2</v>
      </c>
      <c r="J86" s="159">
        <f t="shared" si="13"/>
        <v>0.15775999999999998</v>
      </c>
      <c r="K86" s="159">
        <f t="shared" si="13"/>
        <v>0.17602000000000001</v>
      </c>
      <c r="L86" s="1189"/>
      <c r="M86" s="1189"/>
      <c r="N86" s="1189"/>
    </row>
    <row r="87" spans="2:14" ht="14" x14ac:dyDescent="0.15">
      <c r="K87" s="1189"/>
      <c r="L87" s="1189"/>
      <c r="M87" s="1189"/>
      <c r="N87" s="1189"/>
    </row>
    <row r="88" spans="2:14" ht="14" x14ac:dyDescent="0.15">
      <c r="B88" s="507" t="s">
        <v>2165</v>
      </c>
      <c r="K88" s="1189"/>
      <c r="L88" s="1189"/>
      <c r="M88" s="1189"/>
      <c r="N88" s="1189"/>
    </row>
    <row r="89" spans="2:14" ht="14" x14ac:dyDescent="0.15">
      <c r="B89" s="159"/>
      <c r="K89" s="1189"/>
      <c r="L89" s="1189"/>
      <c r="M89" s="1189"/>
      <c r="N89" s="1189"/>
    </row>
    <row r="90" spans="2:14" ht="14" x14ac:dyDescent="0.15">
      <c r="B90" s="159"/>
      <c r="C90" s="159" t="s">
        <v>2163</v>
      </c>
      <c r="D90" s="159" t="s">
        <v>2164</v>
      </c>
      <c r="K90" s="1189"/>
      <c r="L90" s="1189"/>
      <c r="M90" s="1189"/>
      <c r="N90" s="1189"/>
    </row>
    <row r="91" spans="2:14" ht="14" x14ac:dyDescent="0.15">
      <c r="B91" s="159" t="s">
        <v>2123</v>
      </c>
      <c r="C91" s="159">
        <v>262.89999999999998</v>
      </c>
      <c r="D91" s="159">
        <f t="shared" ref="D91:D104" si="14">C91/1000</f>
        <v>0.26289999999999997</v>
      </c>
      <c r="K91" s="1189"/>
      <c r="L91" s="1189"/>
      <c r="M91" s="1189"/>
      <c r="N91" s="1189"/>
    </row>
    <row r="92" spans="2:14" ht="14" x14ac:dyDescent="0.15">
      <c r="B92" s="159" t="s">
        <v>2125</v>
      </c>
      <c r="C92" s="159">
        <v>281.10000000000002</v>
      </c>
      <c r="D92" s="159">
        <f t="shared" si="14"/>
        <v>0.28110000000000002</v>
      </c>
      <c r="K92" s="1189"/>
      <c r="L92" s="1189"/>
      <c r="M92" s="1189"/>
      <c r="N92" s="1189"/>
    </row>
    <row r="93" spans="2:14" ht="14" x14ac:dyDescent="0.15">
      <c r="B93" s="159" t="s">
        <v>2127</v>
      </c>
      <c r="C93" s="159">
        <v>169</v>
      </c>
      <c r="D93" s="159">
        <f t="shared" si="14"/>
        <v>0.16900000000000001</v>
      </c>
      <c r="K93" s="1189"/>
      <c r="L93" s="1189"/>
      <c r="M93" s="1189"/>
      <c r="N93" s="1189"/>
    </row>
    <row r="94" spans="2:14" ht="14" x14ac:dyDescent="0.15">
      <c r="B94" s="159" t="s">
        <v>2129</v>
      </c>
      <c r="C94" s="159">
        <v>630.15</v>
      </c>
      <c r="D94" s="159">
        <f t="shared" si="14"/>
        <v>0.63014999999999999</v>
      </c>
      <c r="K94" s="1189"/>
      <c r="L94" s="1189"/>
      <c r="M94" s="1189"/>
      <c r="N94" s="1189"/>
    </row>
    <row r="95" spans="2:14" ht="14" x14ac:dyDescent="0.15">
      <c r="B95" s="159" t="s">
        <v>2131</v>
      </c>
      <c r="C95" s="159">
        <v>186.82</v>
      </c>
      <c r="D95" s="159">
        <f t="shared" si="14"/>
        <v>0.18681999999999999</v>
      </c>
      <c r="K95" s="1189"/>
      <c r="L95" s="1189"/>
      <c r="M95" s="1189"/>
      <c r="N95" s="1189"/>
    </row>
    <row r="96" spans="2:14" ht="14" x14ac:dyDescent="0.15">
      <c r="B96" s="159" t="s">
        <v>2133</v>
      </c>
      <c r="C96" s="159">
        <v>70.900000000000006</v>
      </c>
      <c r="D96" s="159">
        <f t="shared" si="14"/>
        <v>7.0900000000000005E-2</v>
      </c>
      <c r="K96" s="1189"/>
      <c r="L96" s="1189"/>
      <c r="M96" s="1189"/>
      <c r="N96" s="1189"/>
    </row>
    <row r="97" spans="2:14" ht="14" x14ac:dyDescent="0.15">
      <c r="B97" s="159" t="s">
        <v>2135</v>
      </c>
      <c r="C97" s="159">
        <v>73.900000000000006</v>
      </c>
      <c r="D97" s="159">
        <f t="shared" si="14"/>
        <v>7.3900000000000007E-2</v>
      </c>
      <c r="K97" s="1189"/>
      <c r="L97" s="1189"/>
      <c r="M97" s="1189"/>
      <c r="N97" s="1189"/>
    </row>
    <row r="98" spans="2:14" x14ac:dyDescent="0.15">
      <c r="B98" s="159" t="s">
        <v>2138</v>
      </c>
      <c r="C98" s="159">
        <v>42</v>
      </c>
      <c r="D98" s="159">
        <f t="shared" si="14"/>
        <v>4.2000000000000003E-2</v>
      </c>
    </row>
    <row r="99" spans="2:14" x14ac:dyDescent="0.15">
      <c r="B99" s="159" t="s">
        <v>2166</v>
      </c>
      <c r="C99" s="159">
        <v>18</v>
      </c>
      <c r="D99" s="159">
        <f t="shared" si="14"/>
        <v>1.7999999999999999E-2</v>
      </c>
    </row>
    <row r="100" spans="2:14" x14ac:dyDescent="0.15">
      <c r="B100" s="159" t="s">
        <v>2167</v>
      </c>
      <c r="C100" s="159">
        <v>96</v>
      </c>
      <c r="D100" s="159">
        <f t="shared" si="14"/>
        <v>9.6000000000000002E-2</v>
      </c>
    </row>
    <row r="101" spans="2:14" x14ac:dyDescent="0.15">
      <c r="B101" s="159" t="s">
        <v>2168</v>
      </c>
      <c r="C101" s="159">
        <v>94.97</v>
      </c>
      <c r="D101" s="159">
        <f t="shared" si="14"/>
        <v>9.4969999999999999E-2</v>
      </c>
    </row>
    <row r="102" spans="2:14" x14ac:dyDescent="0.15">
      <c r="B102" s="159" t="s">
        <v>2169</v>
      </c>
      <c r="C102" s="159">
        <v>60</v>
      </c>
      <c r="D102" s="159">
        <f t="shared" si="14"/>
        <v>0.06</v>
      </c>
    </row>
    <row r="103" spans="2:14" x14ac:dyDescent="0.15">
      <c r="B103" s="159" t="s">
        <v>2170</v>
      </c>
      <c r="C103" s="159">
        <v>17</v>
      </c>
      <c r="D103" s="159">
        <f t="shared" si="14"/>
        <v>1.7000000000000001E-2</v>
      </c>
    </row>
    <row r="104" spans="2:14" x14ac:dyDescent="0.15">
      <c r="B104" s="159" t="s">
        <v>2171</v>
      </c>
      <c r="C104" s="159">
        <v>16</v>
      </c>
      <c r="D104" s="159">
        <f t="shared" si="14"/>
        <v>1.6E-2</v>
      </c>
    </row>
  </sheetData>
  <mergeCells count="11">
    <mergeCell ref="B1:M1"/>
    <mergeCell ref="N1:O1"/>
    <mergeCell ref="B2:M2"/>
    <mergeCell ref="B3:M3"/>
    <mergeCell ref="B4:E4"/>
    <mergeCell ref="G4:M4"/>
    <mergeCell ref="B5:E5"/>
    <mergeCell ref="G5:M5"/>
    <mergeCell ref="B80:M80"/>
    <mergeCell ref="B11:M11"/>
    <mergeCell ref="B30:M30"/>
  </mergeCells>
  <hyperlinks>
    <hyperlink ref="N2" location="Dashboard!A1" display="Dashboard" xr:uid="{8B07B8F9-EA43-4F27-A4B6-8242F8573A73}"/>
    <hyperlink ref="N3" location="'Summary of Results'!A1" display="Summary of Results" xr:uid="{95C5AE5F-2C50-429F-8218-098C86A219BB}"/>
    <hyperlink ref="N4" location="Chem!A1" display="Chem" xr:uid="{5C9E9211-0C60-4CB8-9072-1966ADEDC9A9}"/>
    <hyperlink ref="N5" location="'Battery Design'!A1" display="Battery Design" xr:uid="{D69EB864-2B4C-4DC4-A79B-587B26146CB0}"/>
    <hyperlink ref="N6" location="BMS!A1" display="BMS" xr:uid="{D36033BF-477A-4240-8A19-9CFB818AE750}"/>
    <hyperlink ref="O2" location="'Manufacturing Cost Calcs (KWK)'!A1" display="Manufacturing Costs" xr:uid="{DF0CA3B8-0E35-48EE-A293-8498266FB7CA}"/>
    <hyperlink ref="O3" location="'Cost Input'!A1" display="Cost Input" xr:uid="{66A5E691-FDF1-4D66-B0FB-02FD600373FF}"/>
    <hyperlink ref="O4" location="'Cost Breakdown (KWK)'!A1" display="Cost Breakdown" xr:uid="{4F784861-3F4F-48EF-9818-A42B5D9CBF75}"/>
    <hyperlink ref="O5" location="Recycle!A1" display="Recycle" xr:uid="{885F0FC1-AD51-4C9F-8586-2179B2514710}"/>
    <hyperlink ref="O6" location="Thermal!A1" display="Thermal" xr:uid="{64221929-631F-4958-8A70-BD033A195D4E}"/>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94"/>
  <sheetViews>
    <sheetView workbookViewId="0">
      <pane ySplit="6" topLeftCell="A7" activePane="bottomLeft" state="frozen"/>
      <selection pane="bottomLeft" activeCell="H40" sqref="H40"/>
    </sheetView>
  </sheetViews>
  <sheetFormatPr baseColWidth="10" defaultColWidth="8.83203125" defaultRowHeight="13" x14ac:dyDescent="0.15"/>
  <cols>
    <col min="4" max="4" width="38.5" customWidth="1"/>
    <col min="5" max="5" width="18.5" customWidth="1"/>
    <col min="6" max="6" width="20.5" customWidth="1"/>
    <col min="7" max="7" width="18" customWidth="1"/>
    <col min="8" max="8" width="16.5" customWidth="1"/>
    <col min="9" max="9" width="15.5" customWidth="1"/>
    <col min="10" max="11" width="17.5" customWidth="1"/>
    <col min="12" max="12" width="15.5" customWidth="1"/>
    <col min="14" max="14" width="18" bestFit="1" customWidth="1"/>
    <col min="15" max="15" width="18.5" bestFit="1" customWidth="1"/>
    <col min="16" max="16" width="9.5" customWidth="1"/>
    <col min="17" max="17" width="31.5" customWidth="1"/>
    <col min="18" max="19" width="13.5" customWidth="1"/>
    <col min="20" max="20" width="14.5" customWidth="1"/>
    <col min="21" max="21" width="13.5" customWidth="1"/>
    <col min="22" max="23" width="12.5" customWidth="1"/>
    <col min="24" max="24" width="14.5" customWidth="1"/>
    <col min="27" max="27" width="24.5" customWidth="1"/>
    <col min="28" max="28" width="23.5" customWidth="1"/>
    <col min="29" max="29" width="16.5" customWidth="1"/>
    <col min="30" max="30" width="15.5" customWidth="1"/>
    <col min="31" max="31" width="14.5" customWidth="1"/>
    <col min="32" max="32" width="12.5" customWidth="1"/>
    <col min="33" max="33" width="14" customWidth="1"/>
    <col min="34" max="34" width="13.5" customWidth="1"/>
    <col min="35" max="35" width="13" customWidth="1"/>
    <col min="37" max="37" width="23.5" customWidth="1"/>
    <col min="38" max="38" width="16.5" customWidth="1"/>
    <col min="39" max="39" width="14.5" customWidth="1"/>
    <col min="40" max="41" width="15.5" customWidth="1"/>
    <col min="42" max="42" width="17" customWidth="1"/>
    <col min="43" max="43" width="14.5" customWidth="1"/>
    <col min="44" max="44" width="11.5" bestFit="1" customWidth="1"/>
    <col min="47" max="47" width="23.83203125" customWidth="1"/>
    <col min="48" max="48" width="12.5" bestFit="1" customWidth="1"/>
    <col min="49" max="49" width="17" customWidth="1"/>
    <col min="50" max="50" width="13" bestFit="1" customWidth="1"/>
    <col min="51" max="51" width="12.1640625" bestFit="1" customWidth="1"/>
    <col min="52" max="52" width="13" bestFit="1" customWidth="1"/>
    <col min="53" max="53" width="11.1640625" customWidth="1"/>
    <col min="54" max="54" width="13" bestFit="1" customWidth="1"/>
    <col min="57" max="57" width="24.1640625" customWidth="1"/>
    <col min="58" max="58" width="10.1640625" bestFit="1" customWidth="1"/>
    <col min="59" max="59" width="12.1640625" customWidth="1"/>
    <col min="60" max="60" width="10.1640625" bestFit="1" customWidth="1"/>
    <col min="61" max="61" width="12.1640625" bestFit="1" customWidth="1"/>
    <col min="62" max="62" width="10.1640625" bestFit="1" customWidth="1"/>
    <col min="63" max="63" width="11.5" customWidth="1"/>
    <col min="64" max="64" width="10.1640625" bestFit="1" customWidth="1"/>
  </cols>
  <sheetData>
    <row r="1" spans="2:65" ht="19" thickBot="1" x14ac:dyDescent="0.25">
      <c r="B1" s="1347" t="s">
        <v>2172</v>
      </c>
      <c r="C1" s="1349"/>
      <c r="D1" s="1349"/>
      <c r="E1" s="1349"/>
      <c r="F1" s="1349"/>
      <c r="G1" s="1349"/>
      <c r="H1" s="1349"/>
      <c r="I1" s="1349"/>
      <c r="J1" s="1349"/>
      <c r="K1" s="1349"/>
      <c r="L1" s="1349"/>
      <c r="M1" s="1350"/>
      <c r="N1" s="1260" t="s">
        <v>9</v>
      </c>
      <c r="O1" s="1261"/>
    </row>
    <row r="2" spans="2:65" ht="17" thickBot="1" x14ac:dyDescent="0.25">
      <c r="B2" s="1363" t="str">
        <f>Dashboard!B2</f>
        <v>EV with NMC532-G (Power) Electrodes</v>
      </c>
      <c r="C2" s="1364"/>
      <c r="D2" s="1364"/>
      <c r="E2" s="1364"/>
      <c r="F2" s="1364"/>
      <c r="G2" s="1364"/>
      <c r="H2" s="1364"/>
      <c r="I2" s="1364"/>
      <c r="J2" s="1364"/>
      <c r="K2" s="1364"/>
      <c r="L2" s="1364"/>
      <c r="M2" s="1365"/>
      <c r="N2" s="987" t="s">
        <v>8</v>
      </c>
      <c r="O2" s="988" t="s">
        <v>10</v>
      </c>
      <c r="Q2" s="696"/>
    </row>
    <row r="3" spans="2:65" ht="16" x14ac:dyDescent="0.2">
      <c r="B3" s="1333" t="s">
        <v>2173</v>
      </c>
      <c r="C3" s="1334"/>
      <c r="D3" s="1334"/>
      <c r="E3" s="1334"/>
      <c r="F3" s="1334"/>
      <c r="G3" s="1334"/>
      <c r="H3" s="1334"/>
      <c r="I3" s="1334"/>
      <c r="J3" s="1334"/>
      <c r="K3" s="1334"/>
      <c r="L3" s="1334"/>
      <c r="M3" s="1342"/>
      <c r="N3" s="989" t="s">
        <v>15</v>
      </c>
      <c r="O3" s="988" t="s">
        <v>16</v>
      </c>
    </row>
    <row r="4" spans="2:65" x14ac:dyDescent="0.15">
      <c r="B4" s="1293" t="s">
        <v>298</v>
      </c>
      <c r="C4" s="1293"/>
      <c r="D4" s="1293"/>
      <c r="E4" s="1293"/>
      <c r="F4" s="181"/>
      <c r="G4" s="1294" t="s">
        <v>12</v>
      </c>
      <c r="H4" s="1325"/>
      <c r="I4" s="1325"/>
      <c r="J4" s="1325"/>
      <c r="K4" s="1325"/>
      <c r="L4" s="1325"/>
      <c r="M4" s="1326"/>
      <c r="N4" s="986" t="s">
        <v>17</v>
      </c>
      <c r="O4" s="988" t="s">
        <v>18</v>
      </c>
    </row>
    <row r="5" spans="2:65" ht="14" thickBot="1" x14ac:dyDescent="0.2">
      <c r="B5" s="1296" t="s">
        <v>13</v>
      </c>
      <c r="C5" s="1296"/>
      <c r="D5" s="1296"/>
      <c r="E5" s="1296"/>
      <c r="F5" s="185"/>
      <c r="G5" s="1297" t="s">
        <v>14</v>
      </c>
      <c r="H5" s="1327"/>
      <c r="I5" s="1327"/>
      <c r="J5" s="1327"/>
      <c r="K5" s="1327"/>
      <c r="L5" s="1327"/>
      <c r="M5" s="1328"/>
      <c r="N5" s="986" t="s">
        <v>20</v>
      </c>
      <c r="O5" s="992" t="s">
        <v>21</v>
      </c>
    </row>
    <row r="6" spans="2:65" ht="14" thickBot="1" x14ac:dyDescent="0.2">
      <c r="N6" s="990" t="s">
        <v>25</v>
      </c>
      <c r="O6" s="991" t="s">
        <v>26</v>
      </c>
    </row>
    <row r="12" spans="2:65" ht="14" thickBot="1" x14ac:dyDescent="0.2"/>
    <row r="13" spans="2:65" ht="19" thickBot="1" x14ac:dyDescent="0.25">
      <c r="D13" s="1359" t="s">
        <v>2174</v>
      </c>
      <c r="E13" s="1360"/>
      <c r="F13" s="1361"/>
      <c r="G13" s="1361"/>
      <c r="H13" s="1361"/>
      <c r="I13" s="1361"/>
      <c r="J13" s="1361"/>
      <c r="K13" s="1361"/>
      <c r="L13" s="1362"/>
      <c r="P13" s="653"/>
      <c r="Q13" s="659" t="s">
        <v>2175</v>
      </c>
      <c r="R13" s="650" t="str" cm="1">
        <f t="array" aca="1" ref="R13" ca="1">INDEX(_vehicles, R14)</f>
        <v>mildHEV</v>
      </c>
      <c r="S13" s="651"/>
      <c r="T13" s="651"/>
      <c r="U13" s="651"/>
      <c r="V13" s="652"/>
      <c r="W13" s="654" t="s">
        <v>2176</v>
      </c>
      <c r="X13" s="655"/>
      <c r="Y13" s="661">
        <f>Y15</f>
        <v>3</v>
      </c>
      <c r="Z13" s="653"/>
      <c r="AA13" s="659" t="s">
        <v>2175</v>
      </c>
      <c r="AB13" s="650" t="str" cm="1">
        <f t="array" aca="1" ref="AB13" ca="1">INDEX(_vehicles, AB14)</f>
        <v>HEV-HP</v>
      </c>
      <c r="AC13" s="651"/>
      <c r="AD13" s="651"/>
      <c r="AE13" s="651"/>
      <c r="AF13" s="652"/>
      <c r="AG13" s="654" t="s">
        <v>2176</v>
      </c>
      <c r="AH13" s="655"/>
      <c r="AI13" s="661">
        <f>AI15</f>
        <v>3</v>
      </c>
      <c r="AJ13" s="653"/>
      <c r="AK13" s="659" t="s">
        <v>2175</v>
      </c>
      <c r="AL13" s="650" t="str" cm="1">
        <f t="array" aca="1" ref="AL13" ca="1">INDEX(_vehicles, AL14)</f>
        <v>PHEV</v>
      </c>
      <c r="AM13" s="651"/>
      <c r="AN13" s="651"/>
      <c r="AO13" s="651"/>
      <c r="AP13" s="652"/>
      <c r="AQ13" s="654" t="s">
        <v>2176</v>
      </c>
      <c r="AR13" s="655"/>
      <c r="AS13" s="661">
        <f>AS15</f>
        <v>2</v>
      </c>
      <c r="AT13" s="653"/>
      <c r="AU13" s="659" t="s">
        <v>2175</v>
      </c>
      <c r="AV13" s="650" t="str" cm="1">
        <f t="array" aca="1" ref="AV13" ca="1">INDEX(_vehicles, AV14)</f>
        <v>EV</v>
      </c>
      <c r="AW13" s="651"/>
      <c r="AX13" s="651"/>
      <c r="AY13" s="651"/>
      <c r="AZ13" s="652"/>
      <c r="BA13" s="654" t="s">
        <v>2176</v>
      </c>
      <c r="BB13" s="655"/>
      <c r="BC13" s="661">
        <f>BC15</f>
        <v>4</v>
      </c>
      <c r="BD13" s="653"/>
      <c r="BE13" s="659" t="s">
        <v>2175</v>
      </c>
      <c r="BF13" s="650" t="e" cm="1">
        <f t="array" aca="1" ref="BF13" ca="1">INDEX(_vehicles, BF14)</f>
        <v>#REF!</v>
      </c>
      <c r="BG13" s="651"/>
      <c r="BH13" s="651"/>
      <c r="BI13" s="651"/>
      <c r="BJ13" s="652"/>
      <c r="BK13" s="654" t="s">
        <v>2176</v>
      </c>
      <c r="BL13" s="655"/>
      <c r="BM13" s="661">
        <f>BM15</f>
        <v>1</v>
      </c>
    </row>
    <row r="14" spans="2:65" ht="19" thickBot="1" x14ac:dyDescent="0.25">
      <c r="D14" s="437" t="s">
        <v>2177</v>
      </c>
      <c r="E14" s="610" t="str">
        <f ca="1">OFFSET('Default Vehicle Configurations'!U15, 20*(G16-1), 10*($E$16-1))</f>
        <v>Default 1</v>
      </c>
      <c r="F14" s="611"/>
      <c r="G14" s="611"/>
      <c r="H14" s="644">
        <v>0</v>
      </c>
      <c r="J14" s="211"/>
      <c r="K14" s="614"/>
      <c r="L14" s="239"/>
      <c r="P14" s="656"/>
      <c r="Q14" s="660" t="s">
        <v>2178</v>
      </c>
      <c r="R14" s="640">
        <f>H14+1</f>
        <v>1</v>
      </c>
      <c r="S14" s="657"/>
      <c r="T14" s="657"/>
      <c r="U14" s="657"/>
      <c r="V14" s="657"/>
      <c r="W14" s="657"/>
      <c r="X14" s="657"/>
      <c r="Y14" s="658"/>
      <c r="Z14" s="656"/>
      <c r="AA14" s="660" t="s">
        <v>2178</v>
      </c>
      <c r="AB14" s="640">
        <f>R14+1</f>
        <v>2</v>
      </c>
      <c r="AC14" s="657"/>
      <c r="AD14" s="657"/>
      <c r="AE14" s="657"/>
      <c r="AF14" s="657"/>
      <c r="AG14" s="657"/>
      <c r="AH14" s="657"/>
      <c r="AI14" s="658"/>
      <c r="AJ14" s="656"/>
      <c r="AK14" s="660" t="s">
        <v>2178</v>
      </c>
      <c r="AL14" s="640">
        <f>AB14+1</f>
        <v>3</v>
      </c>
      <c r="AM14" s="657"/>
      <c r="AN14" s="657"/>
      <c r="AO14" s="657"/>
      <c r="AP14" s="657"/>
      <c r="AQ14" s="657"/>
      <c r="AR14" s="657"/>
      <c r="AS14" s="658"/>
      <c r="AT14" s="656"/>
      <c r="AU14" s="660" t="s">
        <v>2178</v>
      </c>
      <c r="AV14" s="640">
        <f>AL14+1</f>
        <v>4</v>
      </c>
      <c r="AW14" s="657"/>
      <c r="AX14" s="657"/>
      <c r="AY14" s="657"/>
      <c r="AZ14" s="657"/>
      <c r="BA14" s="657"/>
      <c r="BB14" s="657"/>
      <c r="BC14" s="658"/>
      <c r="BD14" s="656"/>
      <c r="BE14" s="660" t="s">
        <v>2178</v>
      </c>
      <c r="BF14" s="640">
        <f>AV14+1</f>
        <v>5</v>
      </c>
      <c r="BG14" s="657"/>
      <c r="BH14" s="657"/>
      <c r="BI14" s="657"/>
      <c r="BJ14" s="657"/>
      <c r="BK14" s="657"/>
      <c r="BL14" s="657"/>
      <c r="BM14" s="658"/>
    </row>
    <row r="15" spans="2:65" ht="19" thickBot="1" x14ac:dyDescent="0.25">
      <c r="D15" s="212" t="s">
        <v>47</v>
      </c>
      <c r="E15" s="608" t="str">
        <f ca="1">'Vehicle Considerations'!B8</f>
        <v>EV</v>
      </c>
      <c r="F15" s="6" t="s">
        <v>2176</v>
      </c>
      <c r="G15" s="609">
        <f ca="1">OFFSET('Default Vehicle Configurations'!Y13, 0, 10*($E$16-1))</f>
        <v>4</v>
      </c>
      <c r="H15" s="8" t="s">
        <v>2179</v>
      </c>
      <c r="I15" s="672" t="str">
        <f ca="1">IF(ISBLANK(OFFSET('Default Vehicle Configurations'!R16, 20*(G16-1), 10*($E$16-1)) ),  "", OFFSET('Default Vehicle Configurations'!R16, 20*(G16-1), 10*($E$16-1)))</f>
        <v>Identical, standard pack across the board</v>
      </c>
      <c r="J15" s="611"/>
      <c r="K15" s="673"/>
      <c r="L15" s="229"/>
      <c r="P15" s="662"/>
      <c r="Q15" s="663" t="s">
        <v>2180</v>
      </c>
      <c r="R15" s="664">
        <f>Y$13-Y15+1</f>
        <v>1</v>
      </c>
      <c r="S15" s="663" t="s">
        <v>2181</v>
      </c>
      <c r="T15" s="614"/>
      <c r="U15" s="669" t="str">
        <f>"Default " &amp; R15</f>
        <v>Default 1</v>
      </c>
      <c r="V15" s="670"/>
      <c r="W15" s="670"/>
      <c r="X15" s="671"/>
      <c r="Y15" s="665">
        <f>Y35+1</f>
        <v>3</v>
      </c>
      <c r="Z15" s="662"/>
      <c r="AA15" s="663" t="s">
        <v>2180</v>
      </c>
      <c r="AB15" s="664">
        <f>AI$13-AI15+1</f>
        <v>1</v>
      </c>
      <c r="AC15" s="663" t="s">
        <v>2181</v>
      </c>
      <c r="AD15" s="614"/>
      <c r="AE15" s="669" t="str">
        <f>"Default " &amp; AB15</f>
        <v>Default 1</v>
      </c>
      <c r="AF15" s="670"/>
      <c r="AG15" s="670"/>
      <c r="AH15" s="671"/>
      <c r="AI15" s="665">
        <f>AI35+1</f>
        <v>3</v>
      </c>
      <c r="AJ15" s="662"/>
      <c r="AK15" s="663" t="s">
        <v>2180</v>
      </c>
      <c r="AL15" s="664">
        <f>AS$13-AS15+1</f>
        <v>1</v>
      </c>
      <c r="AM15" s="663" t="s">
        <v>2181</v>
      </c>
      <c r="AN15" s="614"/>
      <c r="AO15" s="669" t="str">
        <f>"Default " &amp; AL15</f>
        <v>Default 1</v>
      </c>
      <c r="AP15" s="670"/>
      <c r="AQ15" s="670"/>
      <c r="AR15" s="671"/>
      <c r="AS15" s="665">
        <f>AS35+1</f>
        <v>2</v>
      </c>
      <c r="AT15" s="662"/>
      <c r="AU15" s="663" t="s">
        <v>2180</v>
      </c>
      <c r="AV15" s="664">
        <f>BC$13-BC15+1</f>
        <v>1</v>
      </c>
      <c r="AW15" s="663" t="s">
        <v>2181</v>
      </c>
      <c r="AX15" s="614"/>
      <c r="AY15" s="669" t="str">
        <f>"Default " &amp; AV15</f>
        <v>Default 1</v>
      </c>
      <c r="AZ15" s="670"/>
      <c r="BA15" s="670"/>
      <c r="BB15" s="671"/>
      <c r="BC15" s="665">
        <f>BC35+1</f>
        <v>4</v>
      </c>
      <c r="BD15" s="662"/>
      <c r="BE15" s="663" t="s">
        <v>2180</v>
      </c>
      <c r="BF15" s="664">
        <f>BM$13-BM15+1</f>
        <v>1</v>
      </c>
      <c r="BG15" s="663" t="s">
        <v>2181</v>
      </c>
      <c r="BH15" s="614"/>
      <c r="BI15" s="669" t="str">
        <f>"Default " &amp; BF15</f>
        <v>Default 1</v>
      </c>
      <c r="BJ15" s="670"/>
      <c r="BK15" s="670"/>
      <c r="BL15" s="671"/>
      <c r="BM15" s="665">
        <f>BM35+1</f>
        <v>1</v>
      </c>
    </row>
    <row r="16" spans="2:65" ht="19" thickBot="1" x14ac:dyDescent="0.25">
      <c r="D16" s="212" t="s">
        <v>2182</v>
      </c>
      <c r="E16" s="485">
        <f>'Vehicle Considerations'!B9</f>
        <v>4</v>
      </c>
      <c r="F16" s="6" t="s">
        <v>2183</v>
      </c>
      <c r="G16" s="486">
        <v>1</v>
      </c>
      <c r="L16" s="229"/>
      <c r="P16" s="228"/>
      <c r="Q16" s="6" t="s">
        <v>719</v>
      </c>
      <c r="R16" s="674" t="s">
        <v>2184</v>
      </c>
      <c r="S16" s="667"/>
      <c r="T16" s="667"/>
      <c r="U16" s="667"/>
      <c r="V16" s="667"/>
      <c r="W16" s="667"/>
      <c r="X16" s="667"/>
      <c r="Y16" s="668"/>
      <c r="Z16" s="228"/>
      <c r="AA16" s="8" t="s">
        <v>719</v>
      </c>
      <c r="AB16" s="666"/>
      <c r="AC16" s="667"/>
      <c r="AD16" s="667"/>
      <c r="AE16" s="667"/>
      <c r="AF16" s="667"/>
      <c r="AG16" s="667"/>
      <c r="AH16" s="667"/>
      <c r="AI16" s="668"/>
      <c r="AJ16" s="228"/>
      <c r="AK16" s="6" t="s">
        <v>719</v>
      </c>
      <c r="AL16" s="666"/>
      <c r="AM16" s="667"/>
      <c r="AN16" s="667"/>
      <c r="AO16" s="667"/>
      <c r="AP16" s="667"/>
      <c r="AQ16" s="667"/>
      <c r="AR16" s="667"/>
      <c r="AS16" s="668"/>
      <c r="AT16" s="228"/>
      <c r="AU16" s="8" t="s">
        <v>719</v>
      </c>
      <c r="AV16" s="674" t="s">
        <v>2185</v>
      </c>
      <c r="AW16" s="667"/>
      <c r="AX16" s="667"/>
      <c r="AY16" s="667"/>
      <c r="AZ16" s="667"/>
      <c r="BA16" s="667"/>
      <c r="BB16" s="667"/>
      <c r="BC16" s="668"/>
      <c r="BD16" s="228"/>
      <c r="BE16" s="8" t="s">
        <v>719</v>
      </c>
      <c r="BF16" s="666"/>
      <c r="BG16" s="667"/>
      <c r="BH16" s="667"/>
      <c r="BI16" s="667"/>
      <c r="BJ16" s="667"/>
      <c r="BK16" s="667"/>
      <c r="BL16" s="667"/>
      <c r="BM16" s="668"/>
    </row>
    <row r="17" spans="4:65" ht="15" thickBot="1" x14ac:dyDescent="0.2">
      <c r="D17" s="483"/>
      <c r="E17" s="67"/>
      <c r="L17" s="229"/>
      <c r="P17" s="228"/>
      <c r="Y17" s="229"/>
      <c r="Z17" s="228"/>
      <c r="AI17" s="229"/>
      <c r="AJ17" s="228"/>
      <c r="AS17" s="229"/>
      <c r="AT17" s="228"/>
      <c r="BC17" s="229"/>
      <c r="BD17" s="228"/>
      <c r="BM17" s="229"/>
    </row>
    <row r="18" spans="4:65" ht="21" customHeight="1" thickBot="1" x14ac:dyDescent="0.25">
      <c r="D18" s="615" t="s">
        <v>2003</v>
      </c>
      <c r="E18" s="619" t="s">
        <v>2186</v>
      </c>
      <c r="F18" s="612" t="s">
        <v>56</v>
      </c>
      <c r="G18" s="612" t="s">
        <v>57</v>
      </c>
      <c r="H18" s="612" t="s">
        <v>58</v>
      </c>
      <c r="I18" s="612" t="s">
        <v>59</v>
      </c>
      <c r="J18" s="612" t="s">
        <v>60</v>
      </c>
      <c r="K18" s="612" t="s">
        <v>61</v>
      </c>
      <c r="L18" s="616" t="s">
        <v>62</v>
      </c>
      <c r="P18" s="228"/>
      <c r="Q18" s="6" t="s">
        <v>2003</v>
      </c>
      <c r="R18" s="641" t="s">
        <v>56</v>
      </c>
      <c r="S18" s="642" t="s">
        <v>57</v>
      </c>
      <c r="T18" s="642" t="s">
        <v>58</v>
      </c>
      <c r="U18" s="642" t="s">
        <v>59</v>
      </c>
      <c r="V18" s="642" t="s">
        <v>60</v>
      </c>
      <c r="W18" s="642" t="s">
        <v>61</v>
      </c>
      <c r="X18" s="643" t="s">
        <v>62</v>
      </c>
      <c r="Y18" s="229"/>
      <c r="Z18" s="228"/>
      <c r="AA18" s="6" t="s">
        <v>2003</v>
      </c>
      <c r="AB18" s="641" t="s">
        <v>56</v>
      </c>
      <c r="AC18" s="642" t="s">
        <v>57</v>
      </c>
      <c r="AD18" s="642" t="s">
        <v>58</v>
      </c>
      <c r="AE18" s="642" t="s">
        <v>59</v>
      </c>
      <c r="AF18" s="642" t="s">
        <v>60</v>
      </c>
      <c r="AG18" s="642" t="s">
        <v>61</v>
      </c>
      <c r="AH18" s="643" t="s">
        <v>62</v>
      </c>
      <c r="AI18" s="229"/>
      <c r="AJ18" s="228"/>
      <c r="AK18" s="6" t="s">
        <v>2003</v>
      </c>
      <c r="AL18" s="641" t="s">
        <v>56</v>
      </c>
      <c r="AM18" s="642" t="s">
        <v>57</v>
      </c>
      <c r="AN18" s="642" t="s">
        <v>58</v>
      </c>
      <c r="AO18" s="642" t="s">
        <v>59</v>
      </c>
      <c r="AP18" s="642" t="s">
        <v>60</v>
      </c>
      <c r="AQ18" s="642" t="s">
        <v>61</v>
      </c>
      <c r="AR18" s="643" t="s">
        <v>62</v>
      </c>
      <c r="AS18" s="229"/>
      <c r="AT18" s="228"/>
      <c r="AU18" s="6" t="s">
        <v>2003</v>
      </c>
      <c r="AV18" s="641" t="s">
        <v>56</v>
      </c>
      <c r="AW18" s="642" t="s">
        <v>57</v>
      </c>
      <c r="AX18" s="642" t="s">
        <v>58</v>
      </c>
      <c r="AY18" s="642" t="s">
        <v>59</v>
      </c>
      <c r="AZ18" s="642" t="s">
        <v>60</v>
      </c>
      <c r="BA18" s="642" t="s">
        <v>61</v>
      </c>
      <c r="BB18" s="643" t="s">
        <v>62</v>
      </c>
      <c r="BC18" s="229"/>
      <c r="BD18" s="228"/>
      <c r="BE18" s="6" t="s">
        <v>2003</v>
      </c>
      <c r="BF18" s="641" t="s">
        <v>56</v>
      </c>
      <c r="BG18" s="642" t="s">
        <v>57</v>
      </c>
      <c r="BH18" s="642" t="s">
        <v>58</v>
      </c>
      <c r="BI18" s="642" t="s">
        <v>59</v>
      </c>
      <c r="BJ18" s="642" t="s">
        <v>60</v>
      </c>
      <c r="BK18" s="642" t="s">
        <v>61</v>
      </c>
      <c r="BL18" s="643" t="s">
        <v>62</v>
      </c>
      <c r="BM18" s="229"/>
    </row>
    <row r="19" spans="4:65" ht="27.75" customHeight="1" x14ac:dyDescent="0.2">
      <c r="D19" s="613" t="s">
        <v>82</v>
      </c>
      <c r="E19" s="645">
        <v>74</v>
      </c>
      <c r="F19" s="681">
        <f ca="1">OFFSET($R$19, 20*($G$16-1), 10*($E$16-1))</f>
        <v>20</v>
      </c>
      <c r="G19" s="682">
        <f ca="1">OFFSET('Default Vehicle Configurations'!S19, 20*($G$16-1), 10*($E$16-1))</f>
        <v>20</v>
      </c>
      <c r="H19" s="682">
        <f ca="1">OFFSET('Default Vehicle Configurations'!T19, 20*($G$16-1), 10*($E$16-1))</f>
        <v>20</v>
      </c>
      <c r="I19" s="682">
        <f ca="1">OFFSET('Default Vehicle Configurations'!U19, 20*($G$16-1), 10*($E$16-1))</f>
        <v>20</v>
      </c>
      <c r="J19" s="682">
        <f ca="1">OFFSET('Default Vehicle Configurations'!V19, 20*($G$16-1), 10*($E$16-1))</f>
        <v>20</v>
      </c>
      <c r="K19" s="682">
        <f ca="1">OFFSET('Default Vehicle Configurations'!W19, 20*($G$16-1), 10*($E$16-1))</f>
        <v>20</v>
      </c>
      <c r="L19" s="683">
        <f ca="1">OFFSET('Default Vehicle Configurations'!X19, 20*($G$16-1), 10*($E$16-1))</f>
        <v>20</v>
      </c>
      <c r="P19" s="228"/>
      <c r="Q19" s="204" t="s">
        <v>82</v>
      </c>
      <c r="R19" s="620">
        <v>12</v>
      </c>
      <c r="S19" s="621">
        <v>12</v>
      </c>
      <c r="T19" s="621">
        <v>12</v>
      </c>
      <c r="U19" s="621">
        <v>12</v>
      </c>
      <c r="V19" s="621">
        <v>12</v>
      </c>
      <c r="W19" s="621">
        <v>12</v>
      </c>
      <c r="X19" s="621">
        <v>12</v>
      </c>
      <c r="Y19" s="229"/>
      <c r="Z19" s="228"/>
      <c r="AA19" s="204" t="s">
        <v>82</v>
      </c>
      <c r="AB19" s="620">
        <v>26</v>
      </c>
      <c r="AC19" s="621">
        <v>28</v>
      </c>
      <c r="AD19" s="621">
        <v>30</v>
      </c>
      <c r="AE19" s="621">
        <v>32</v>
      </c>
      <c r="AF19" s="621">
        <v>34</v>
      </c>
      <c r="AG19" s="621">
        <v>36</v>
      </c>
      <c r="AH19" s="622">
        <v>38</v>
      </c>
      <c r="AI19" s="229"/>
      <c r="AJ19" s="228"/>
      <c r="AK19" s="204" t="s">
        <v>82</v>
      </c>
      <c r="AL19" s="620">
        <v>26</v>
      </c>
      <c r="AM19" s="621">
        <v>28</v>
      </c>
      <c r="AN19" s="621">
        <v>30</v>
      </c>
      <c r="AO19" s="621">
        <v>32</v>
      </c>
      <c r="AP19" s="621">
        <v>34</v>
      </c>
      <c r="AQ19" s="621">
        <v>36</v>
      </c>
      <c r="AR19" s="622">
        <v>38</v>
      </c>
      <c r="AS19" s="229"/>
      <c r="AT19" s="228"/>
      <c r="AU19" s="204" t="s">
        <v>82</v>
      </c>
      <c r="AV19" s="620">
        <v>20</v>
      </c>
      <c r="AW19" s="621">
        <v>20</v>
      </c>
      <c r="AX19" s="621">
        <v>20</v>
      </c>
      <c r="AY19" s="621">
        <v>20</v>
      </c>
      <c r="AZ19" s="621">
        <v>20</v>
      </c>
      <c r="BA19" s="621">
        <v>20</v>
      </c>
      <c r="BB19" s="622">
        <v>20</v>
      </c>
      <c r="BC19" s="229"/>
      <c r="BD19" s="228"/>
      <c r="BE19" s="204" t="s">
        <v>82</v>
      </c>
      <c r="BF19" s="620"/>
      <c r="BG19" s="621"/>
      <c r="BH19" s="621"/>
      <c r="BI19" s="621"/>
      <c r="BJ19" s="621"/>
      <c r="BK19" s="621"/>
      <c r="BL19" s="622"/>
      <c r="BM19" s="229"/>
    </row>
    <row r="20" spans="4:65" ht="33" customHeight="1" x14ac:dyDescent="0.2">
      <c r="D20" s="613" t="s">
        <v>83</v>
      </c>
      <c r="E20" s="646">
        <v>75</v>
      </c>
      <c r="F20" s="684">
        <f ca="1">OFFSET('Default Vehicle Configurations'!R20, 20*($G$16-1), 10*($E$16-1))</f>
        <v>2</v>
      </c>
      <c r="G20" s="685">
        <f ca="1">OFFSET('Default Vehicle Configurations'!S20, 20*($G$16-1), 10*($E$16-1))</f>
        <v>2</v>
      </c>
      <c r="H20" s="685">
        <f ca="1">OFFSET('Default Vehicle Configurations'!T20, 20*($G$16-1), 10*($E$16-1))</f>
        <v>2</v>
      </c>
      <c r="I20" s="685">
        <f ca="1">OFFSET('Default Vehicle Configurations'!U20, 20*($G$16-1), 10*($E$16-1))</f>
        <v>2</v>
      </c>
      <c r="J20" s="685">
        <f ca="1">OFFSET('Default Vehicle Configurations'!V20, 20*($G$16-1), 10*($E$16-1))</f>
        <v>2</v>
      </c>
      <c r="K20" s="685">
        <f ca="1">OFFSET('Default Vehicle Configurations'!W20, 20*($G$16-1), 10*($E$16-1))</f>
        <v>2</v>
      </c>
      <c r="L20" s="686">
        <f ca="1">OFFSET('Default Vehicle Configurations'!X20, 20*($G$16-1), 10*($E$16-1))</f>
        <v>2</v>
      </c>
      <c r="P20" s="228"/>
      <c r="Q20" s="204" t="s">
        <v>83</v>
      </c>
      <c r="R20" s="623">
        <v>4</v>
      </c>
      <c r="S20" s="526">
        <v>4</v>
      </c>
      <c r="T20" s="526">
        <v>4</v>
      </c>
      <c r="U20" s="526">
        <v>4</v>
      </c>
      <c r="V20" s="526">
        <v>4</v>
      </c>
      <c r="W20" s="526">
        <v>4</v>
      </c>
      <c r="X20" s="526">
        <v>4</v>
      </c>
      <c r="Y20" s="229"/>
      <c r="Z20" s="228"/>
      <c r="AA20" s="204" t="s">
        <v>83</v>
      </c>
      <c r="AB20" s="623">
        <v>1</v>
      </c>
      <c r="AC20" s="526">
        <v>1</v>
      </c>
      <c r="AD20" s="526">
        <v>1</v>
      </c>
      <c r="AE20" s="526">
        <v>1</v>
      </c>
      <c r="AF20" s="526">
        <v>1</v>
      </c>
      <c r="AG20" s="526">
        <v>1</v>
      </c>
      <c r="AH20" s="624">
        <v>1</v>
      </c>
      <c r="AI20" s="229"/>
      <c r="AJ20" s="228"/>
      <c r="AK20" s="204" t="s">
        <v>83</v>
      </c>
      <c r="AL20" s="623">
        <v>1</v>
      </c>
      <c r="AM20" s="526">
        <v>1</v>
      </c>
      <c r="AN20" s="526">
        <v>1</v>
      </c>
      <c r="AO20" s="526">
        <v>1</v>
      </c>
      <c r="AP20" s="526">
        <v>1</v>
      </c>
      <c r="AQ20" s="526">
        <v>1</v>
      </c>
      <c r="AR20" s="624">
        <v>1</v>
      </c>
      <c r="AS20" s="229"/>
      <c r="AT20" s="228"/>
      <c r="AU20" s="204" t="s">
        <v>83</v>
      </c>
      <c r="AV20" s="623">
        <v>2</v>
      </c>
      <c r="AW20" s="526">
        <v>2</v>
      </c>
      <c r="AX20" s="526">
        <v>2</v>
      </c>
      <c r="AY20" s="526">
        <v>2</v>
      </c>
      <c r="AZ20" s="526">
        <v>2</v>
      </c>
      <c r="BA20" s="526">
        <v>2</v>
      </c>
      <c r="BB20" s="624">
        <v>2</v>
      </c>
      <c r="BC20" s="229"/>
      <c r="BD20" s="228"/>
      <c r="BE20" s="204" t="s">
        <v>83</v>
      </c>
      <c r="BF20" s="623"/>
      <c r="BG20" s="526"/>
      <c r="BH20" s="526"/>
      <c r="BI20" s="526"/>
      <c r="BJ20" s="526"/>
      <c r="BK20" s="526"/>
      <c r="BL20" s="624"/>
      <c r="BM20" s="229"/>
    </row>
    <row r="21" spans="4:65" ht="34.5" customHeight="1" x14ac:dyDescent="0.2">
      <c r="D21" s="613" t="s">
        <v>84</v>
      </c>
      <c r="E21" s="646">
        <v>76</v>
      </c>
      <c r="F21" s="684">
        <f ca="1">OFFSET('Default Vehicle Configurations'!R21, 20*($G$16-1), 10*($E$16-1))</f>
        <v>5</v>
      </c>
      <c r="G21" s="685">
        <f ca="1">OFFSET('Default Vehicle Configurations'!S21, 20*($G$16-1), 10*($E$16-1))</f>
        <v>5</v>
      </c>
      <c r="H21" s="685">
        <f ca="1">OFFSET('Default Vehicle Configurations'!T21, 20*($G$16-1), 10*($E$16-1))</f>
        <v>5</v>
      </c>
      <c r="I21" s="685">
        <f ca="1">OFFSET('Default Vehicle Configurations'!U21, 20*($G$16-1), 10*($E$16-1))</f>
        <v>5</v>
      </c>
      <c r="J21" s="685">
        <f ca="1">OFFSET('Default Vehicle Configurations'!V21, 20*($G$16-1), 10*($E$16-1))</f>
        <v>5</v>
      </c>
      <c r="K21" s="685">
        <f ca="1">OFFSET('Default Vehicle Configurations'!W21, 20*($G$16-1), 10*($E$16-1))</f>
        <v>5</v>
      </c>
      <c r="L21" s="686">
        <f ca="1">OFFSET('Default Vehicle Configurations'!X21, 20*($G$16-1), 10*($E$16-1))</f>
        <v>5</v>
      </c>
      <c r="P21" s="228"/>
      <c r="Q21" s="204" t="s">
        <v>84</v>
      </c>
      <c r="R21" s="625">
        <v>1</v>
      </c>
      <c r="S21" s="618">
        <v>1</v>
      </c>
      <c r="T21" s="618">
        <v>1</v>
      </c>
      <c r="U21" s="618">
        <v>1</v>
      </c>
      <c r="V21" s="618">
        <v>1</v>
      </c>
      <c r="W21" s="618">
        <v>1</v>
      </c>
      <c r="X21" s="618">
        <v>1</v>
      </c>
      <c r="Y21" s="229"/>
      <c r="Z21" s="228"/>
      <c r="AA21" s="204" t="s">
        <v>84</v>
      </c>
      <c r="AB21" s="625">
        <v>1</v>
      </c>
      <c r="AC21" s="618">
        <v>1</v>
      </c>
      <c r="AD21" s="618">
        <v>1</v>
      </c>
      <c r="AE21" s="618">
        <v>1</v>
      </c>
      <c r="AF21" s="618">
        <v>1</v>
      </c>
      <c r="AG21" s="618">
        <v>1</v>
      </c>
      <c r="AH21" s="626">
        <v>1</v>
      </c>
      <c r="AI21" s="229"/>
      <c r="AJ21" s="228"/>
      <c r="AK21" s="204" t="s">
        <v>84</v>
      </c>
      <c r="AL21" s="625">
        <v>1</v>
      </c>
      <c r="AM21" s="618">
        <v>1</v>
      </c>
      <c r="AN21" s="618">
        <v>1</v>
      </c>
      <c r="AO21" s="618">
        <v>1</v>
      </c>
      <c r="AP21" s="618">
        <v>1</v>
      </c>
      <c r="AQ21" s="618">
        <v>1</v>
      </c>
      <c r="AR21" s="626">
        <v>1</v>
      </c>
      <c r="AS21" s="229"/>
      <c r="AT21" s="228"/>
      <c r="AU21" s="204" t="s">
        <v>84</v>
      </c>
      <c r="AV21" s="625">
        <v>5</v>
      </c>
      <c r="AW21" s="618">
        <v>5</v>
      </c>
      <c r="AX21" s="618">
        <v>5</v>
      </c>
      <c r="AY21" s="618">
        <v>5</v>
      </c>
      <c r="AZ21" s="618">
        <v>5</v>
      </c>
      <c r="BA21" s="618">
        <v>5</v>
      </c>
      <c r="BB21" s="626">
        <v>5</v>
      </c>
      <c r="BC21" s="229"/>
      <c r="BD21" s="228"/>
      <c r="BE21" s="204" t="s">
        <v>84</v>
      </c>
      <c r="BF21" s="625"/>
      <c r="BG21" s="618"/>
      <c r="BH21" s="618"/>
      <c r="BI21" s="618"/>
      <c r="BJ21" s="618"/>
      <c r="BK21" s="618"/>
      <c r="BL21" s="626"/>
      <c r="BM21" s="229"/>
    </row>
    <row r="22" spans="4:65" ht="28.5" customHeight="1" x14ac:dyDescent="0.2">
      <c r="D22" s="613" t="s">
        <v>85</v>
      </c>
      <c r="E22" s="646">
        <v>77</v>
      </c>
      <c r="F22" s="684">
        <f ca="1">OFFSET('Default Vehicle Configurations'!R22, 20*($G$16-1), 10*($E$16-1))</f>
        <v>4</v>
      </c>
      <c r="G22" s="685">
        <f ca="1">OFFSET('Default Vehicle Configurations'!S22, 20*($G$16-1), 10*($E$16-1))</f>
        <v>4</v>
      </c>
      <c r="H22" s="685">
        <f ca="1">OFFSET('Default Vehicle Configurations'!T22, 20*($G$16-1), 10*($E$16-1))</f>
        <v>4</v>
      </c>
      <c r="I22" s="685">
        <f ca="1">OFFSET('Default Vehicle Configurations'!U22, 20*($G$16-1), 10*($E$16-1))</f>
        <v>4</v>
      </c>
      <c r="J22" s="685">
        <f ca="1">OFFSET('Default Vehicle Configurations'!V22, 20*($G$16-1), 10*($E$16-1))</f>
        <v>4</v>
      </c>
      <c r="K22" s="685">
        <f ca="1">OFFSET('Default Vehicle Configurations'!W22, 20*($G$16-1), 10*($E$16-1))</f>
        <v>4</v>
      </c>
      <c r="L22" s="686">
        <f ca="1">OFFSET('Default Vehicle Configurations'!X22, 20*($G$16-1), 10*($E$16-1))</f>
        <v>4</v>
      </c>
      <c r="P22" s="228"/>
      <c r="Q22" s="204" t="s">
        <v>85</v>
      </c>
      <c r="R22" s="625">
        <v>1</v>
      </c>
      <c r="S22" s="618">
        <v>1</v>
      </c>
      <c r="T22" s="618">
        <v>1</v>
      </c>
      <c r="U22" s="618">
        <v>1</v>
      </c>
      <c r="V22" s="618">
        <v>1</v>
      </c>
      <c r="W22" s="618">
        <v>1</v>
      </c>
      <c r="X22" s="618">
        <v>1</v>
      </c>
      <c r="Y22" s="229"/>
      <c r="Z22" s="228"/>
      <c r="AA22" s="204" t="s">
        <v>85</v>
      </c>
      <c r="AB22" s="625">
        <v>1</v>
      </c>
      <c r="AC22" s="618">
        <v>1</v>
      </c>
      <c r="AD22" s="618">
        <v>1</v>
      </c>
      <c r="AE22" s="618">
        <v>1</v>
      </c>
      <c r="AF22" s="618">
        <v>1</v>
      </c>
      <c r="AG22" s="618">
        <v>1</v>
      </c>
      <c r="AH22" s="626">
        <v>1</v>
      </c>
      <c r="AI22" s="229"/>
      <c r="AJ22" s="228"/>
      <c r="AK22" s="204" t="s">
        <v>85</v>
      </c>
      <c r="AL22" s="625">
        <v>1</v>
      </c>
      <c r="AM22" s="618">
        <v>1</v>
      </c>
      <c r="AN22" s="618">
        <v>1</v>
      </c>
      <c r="AO22" s="618">
        <v>1</v>
      </c>
      <c r="AP22" s="618">
        <v>1</v>
      </c>
      <c r="AQ22" s="618">
        <v>1</v>
      </c>
      <c r="AR22" s="626">
        <v>1</v>
      </c>
      <c r="AS22" s="229"/>
      <c r="AT22" s="228"/>
      <c r="AU22" s="204" t="s">
        <v>85</v>
      </c>
      <c r="AV22" s="625">
        <v>4</v>
      </c>
      <c r="AW22" s="618">
        <v>4</v>
      </c>
      <c r="AX22" s="618">
        <v>4</v>
      </c>
      <c r="AY22" s="618">
        <v>4</v>
      </c>
      <c r="AZ22" s="618">
        <v>4</v>
      </c>
      <c r="BA22" s="618">
        <v>4</v>
      </c>
      <c r="BB22" s="626">
        <v>4</v>
      </c>
      <c r="BC22" s="229"/>
      <c r="BD22" s="228"/>
      <c r="BE22" s="204" t="s">
        <v>85</v>
      </c>
      <c r="BF22" s="625"/>
      <c r="BG22" s="618"/>
      <c r="BH22" s="618"/>
      <c r="BI22" s="618"/>
      <c r="BJ22" s="618"/>
      <c r="BK22" s="618"/>
      <c r="BL22" s="626"/>
      <c r="BM22" s="229"/>
    </row>
    <row r="23" spans="4:65" ht="36" customHeight="1" thickBot="1" x14ac:dyDescent="0.25">
      <c r="D23" s="613" t="s">
        <v>86</v>
      </c>
      <c r="E23" s="646">
        <v>78</v>
      </c>
      <c r="F23" s="687">
        <f ca="1">OFFSET('Default Vehicle Configurations'!R23, 20*($G$16-1), 10*($E$16-1))</f>
        <v>2</v>
      </c>
      <c r="G23" s="688">
        <f ca="1">OFFSET('Default Vehicle Configurations'!S23, 20*($G$16-1), 10*($E$16-1))</f>
        <v>2</v>
      </c>
      <c r="H23" s="688">
        <f ca="1">OFFSET('Default Vehicle Configurations'!T23, 20*($G$16-1), 10*($E$16-1))</f>
        <v>2</v>
      </c>
      <c r="I23" s="688">
        <f ca="1">OFFSET('Default Vehicle Configurations'!U23, 20*($G$16-1), 10*($E$16-1))</f>
        <v>2</v>
      </c>
      <c r="J23" s="688">
        <f ca="1">OFFSET('Default Vehicle Configurations'!V23, 20*($G$16-1), 10*($E$16-1))</f>
        <v>2</v>
      </c>
      <c r="K23" s="688">
        <f ca="1">OFFSET('Default Vehicle Configurations'!W23, 20*($G$16-1), 10*($E$16-1))</f>
        <v>2</v>
      </c>
      <c r="L23" s="689">
        <f ca="1">OFFSET('Default Vehicle Configurations'!X23, 20*($G$16-1), 10*($E$16-1))</f>
        <v>2</v>
      </c>
      <c r="P23" s="228"/>
      <c r="Q23" s="204" t="s">
        <v>86</v>
      </c>
      <c r="R23" s="627">
        <v>1</v>
      </c>
      <c r="S23" s="628">
        <v>1</v>
      </c>
      <c r="T23" s="628">
        <v>1</v>
      </c>
      <c r="U23" s="628">
        <v>1</v>
      </c>
      <c r="V23" s="628">
        <v>1</v>
      </c>
      <c r="W23" s="628">
        <v>1</v>
      </c>
      <c r="X23" s="628">
        <v>1</v>
      </c>
      <c r="Y23" s="229"/>
      <c r="Z23" s="228"/>
      <c r="AA23" s="204" t="s">
        <v>86</v>
      </c>
      <c r="AB23" s="627">
        <v>1</v>
      </c>
      <c r="AC23" s="628">
        <v>1</v>
      </c>
      <c r="AD23" s="628">
        <v>1</v>
      </c>
      <c r="AE23" s="628">
        <v>1</v>
      </c>
      <c r="AF23" s="628">
        <v>1</v>
      </c>
      <c r="AG23" s="628">
        <v>1</v>
      </c>
      <c r="AH23" s="629">
        <v>1</v>
      </c>
      <c r="AI23" s="229"/>
      <c r="AJ23" s="228"/>
      <c r="AK23" s="204" t="s">
        <v>86</v>
      </c>
      <c r="AL23" s="627">
        <v>1</v>
      </c>
      <c r="AM23" s="628">
        <v>1</v>
      </c>
      <c r="AN23" s="628">
        <v>1</v>
      </c>
      <c r="AO23" s="628">
        <v>1</v>
      </c>
      <c r="AP23" s="628">
        <v>1</v>
      </c>
      <c r="AQ23" s="628">
        <v>1</v>
      </c>
      <c r="AR23" s="629">
        <v>1</v>
      </c>
      <c r="AS23" s="229"/>
      <c r="AT23" s="228"/>
      <c r="AU23" s="204" t="s">
        <v>86</v>
      </c>
      <c r="AV23" s="627">
        <v>2</v>
      </c>
      <c r="AW23" s="628">
        <v>2</v>
      </c>
      <c r="AX23" s="628">
        <v>2</v>
      </c>
      <c r="AY23" s="628">
        <v>2</v>
      </c>
      <c r="AZ23" s="628">
        <v>2</v>
      </c>
      <c r="BA23" s="628">
        <v>2</v>
      </c>
      <c r="BB23" s="629">
        <v>2</v>
      </c>
      <c r="BC23" s="229"/>
      <c r="BD23" s="228"/>
      <c r="BE23" s="204" t="s">
        <v>86</v>
      </c>
      <c r="BF23" s="627"/>
      <c r="BG23" s="628"/>
      <c r="BH23" s="628"/>
      <c r="BI23" s="628"/>
      <c r="BJ23" s="628"/>
      <c r="BK23" s="628"/>
      <c r="BL23" s="629"/>
      <c r="BM23" s="229"/>
    </row>
    <row r="24" spans="4:65" ht="19" thickBot="1" x14ac:dyDescent="0.25">
      <c r="D24" s="319"/>
      <c r="E24" s="647"/>
      <c r="F24" s="237"/>
      <c r="G24" s="237"/>
      <c r="H24" s="237"/>
      <c r="I24" s="237"/>
      <c r="J24" s="237"/>
      <c r="K24" s="237"/>
      <c r="L24" s="484"/>
      <c r="P24" s="228"/>
      <c r="R24" s="6"/>
      <c r="S24" s="6"/>
      <c r="T24" s="6"/>
      <c r="U24" s="6"/>
      <c r="V24" s="6"/>
      <c r="W24" s="6"/>
      <c r="X24" s="6"/>
      <c r="Y24" s="229"/>
      <c r="Z24" s="228"/>
      <c r="AB24" s="6"/>
      <c r="AC24" s="6"/>
      <c r="AD24" s="6"/>
      <c r="AE24" s="6"/>
      <c r="AF24" s="6"/>
      <c r="AG24" s="6"/>
      <c r="AH24" s="6"/>
      <c r="AI24" s="229"/>
      <c r="AJ24" s="228"/>
      <c r="AL24" s="6"/>
      <c r="AM24" s="6"/>
      <c r="AN24" s="6"/>
      <c r="AO24" s="6"/>
      <c r="AP24" s="6"/>
      <c r="AQ24" s="6"/>
      <c r="AR24" s="6"/>
      <c r="AS24" s="229"/>
      <c r="AT24" s="228"/>
      <c r="AV24" s="6"/>
      <c r="AW24" s="6"/>
      <c r="AX24" s="6"/>
      <c r="AY24" s="6"/>
      <c r="AZ24" s="6"/>
      <c r="BA24" s="6"/>
      <c r="BB24" s="6"/>
      <c r="BC24" s="229"/>
      <c r="BD24" s="228"/>
      <c r="BF24" s="6"/>
      <c r="BG24" s="6"/>
      <c r="BH24" s="6"/>
      <c r="BI24" s="6"/>
      <c r="BJ24" s="6"/>
      <c r="BK24" s="6"/>
      <c r="BL24" s="6"/>
      <c r="BM24" s="229"/>
    </row>
    <row r="25" spans="4:65" ht="24" customHeight="1" x14ac:dyDescent="0.2">
      <c r="D25" s="319" t="s">
        <v>2187</v>
      </c>
      <c r="E25" s="647">
        <v>40</v>
      </c>
      <c r="F25" s="681">
        <f ca="1">OFFSET('Default Vehicle Configurations'!R25, 20*($G$16-1), 10*($E$16-1))</f>
        <v>300</v>
      </c>
      <c r="G25" s="682">
        <f ca="1">OFFSET('Default Vehicle Configurations'!S25, 20*($G$16-1), 10*($E$16-1))</f>
        <v>300</v>
      </c>
      <c r="H25" s="682">
        <f ca="1">OFFSET('Default Vehicle Configurations'!T25, 20*($G$16-1), 10*($E$16-1))</f>
        <v>300</v>
      </c>
      <c r="I25" s="682">
        <f ca="1">OFFSET('Default Vehicle Configurations'!U25, 20*($G$16-1), 10*($E$16-1))</f>
        <v>300</v>
      </c>
      <c r="J25" s="682">
        <f ca="1">OFFSET('Default Vehicle Configurations'!V25, 20*($G$16-1), 10*($E$16-1))</f>
        <v>300</v>
      </c>
      <c r="K25" s="682">
        <f ca="1">OFFSET('Default Vehicle Configurations'!W25, 20*($G$16-1), 10*($E$16-1))</f>
        <v>300</v>
      </c>
      <c r="L25" s="683">
        <f ca="1">OFFSET('Default Vehicle Configurations'!X25, 20*($G$16-1), 10*($E$16-1))</f>
        <v>300</v>
      </c>
      <c r="P25" s="228"/>
      <c r="Q25" s="204" t="s">
        <v>2187</v>
      </c>
      <c r="R25" s="630">
        <v>40</v>
      </c>
      <c r="S25" s="631">
        <v>35</v>
      </c>
      <c r="T25" s="631">
        <v>30</v>
      </c>
      <c r="U25" s="631">
        <v>25</v>
      </c>
      <c r="V25" s="631">
        <v>20</v>
      </c>
      <c r="W25" s="631">
        <v>15</v>
      </c>
      <c r="X25" s="632">
        <v>10</v>
      </c>
      <c r="Y25" s="229"/>
      <c r="Z25" s="228"/>
      <c r="AA25" s="8" t="s">
        <v>2187</v>
      </c>
      <c r="AB25" s="630">
        <v>100</v>
      </c>
      <c r="AC25" s="631">
        <v>125</v>
      </c>
      <c r="AD25" s="631">
        <v>150</v>
      </c>
      <c r="AE25" s="631">
        <v>175</v>
      </c>
      <c r="AF25" s="631">
        <v>200</v>
      </c>
      <c r="AG25" s="631">
        <v>225</v>
      </c>
      <c r="AH25" s="632">
        <v>250</v>
      </c>
      <c r="AI25" s="229"/>
      <c r="AJ25" s="228"/>
      <c r="AK25" s="204" t="s">
        <v>2187</v>
      </c>
      <c r="AL25" s="630">
        <v>100</v>
      </c>
      <c r="AM25" s="631">
        <v>125</v>
      </c>
      <c r="AN25" s="631">
        <v>150</v>
      </c>
      <c r="AO25" s="631">
        <v>175</v>
      </c>
      <c r="AP25" s="631">
        <v>200</v>
      </c>
      <c r="AQ25" s="631">
        <v>225</v>
      </c>
      <c r="AR25" s="632">
        <v>250</v>
      </c>
      <c r="AS25" s="229"/>
      <c r="AT25" s="228"/>
      <c r="AU25" s="8" t="s">
        <v>2187</v>
      </c>
      <c r="AV25" s="630">
        <v>300</v>
      </c>
      <c r="AW25" s="631">
        <v>300</v>
      </c>
      <c r="AX25" s="631">
        <v>300</v>
      </c>
      <c r="AY25" s="631">
        <v>300</v>
      </c>
      <c r="AZ25" s="631">
        <v>300</v>
      </c>
      <c r="BA25" s="631">
        <v>300</v>
      </c>
      <c r="BB25" s="632">
        <v>300</v>
      </c>
      <c r="BC25" s="229"/>
      <c r="BD25" s="228"/>
      <c r="BE25" s="8" t="s">
        <v>2187</v>
      </c>
      <c r="BF25" s="630"/>
      <c r="BG25" s="631"/>
      <c r="BH25" s="631"/>
      <c r="BI25" s="631"/>
      <c r="BJ25" s="631"/>
      <c r="BK25" s="631"/>
      <c r="BL25" s="632"/>
      <c r="BM25" s="229"/>
    </row>
    <row r="26" spans="4:65" ht="21.75" customHeight="1" x14ac:dyDescent="0.2">
      <c r="D26" s="613" t="s">
        <v>2188</v>
      </c>
      <c r="E26" s="646">
        <v>53</v>
      </c>
      <c r="F26" s="684" t="str">
        <f ca="1">IF(OFFSET('Default Vehicle Configurations'!R26, 20*($G$16-1), 10*($E$16-1)) = 0, "", OFFSET('Default Vehicle Configurations'!R26, 20*($G$16-1), 10*($E$16-1)))</f>
        <v/>
      </c>
      <c r="G26" s="685" t="str">
        <f ca="1">IF(OFFSET('Default Vehicle Configurations'!S26, 20*($G$16-1), 10*($E$16-1)) = 0, "", OFFSET('Default Vehicle Configurations'!S26, 20*($G$16-1), 10*($E$16-1)))</f>
        <v/>
      </c>
      <c r="H26" s="685" t="str">
        <f ca="1">IF(OFFSET('Default Vehicle Configurations'!T26, 20*($G$16-1), 10*($E$16-1)) = 0, "", OFFSET('Default Vehicle Configurations'!T26, 20*($G$16-1), 10*($E$16-1)))</f>
        <v/>
      </c>
      <c r="I26" s="685" t="str">
        <f ca="1">IF(OFFSET('Default Vehicle Configurations'!U26, 20*($G$16-1), 10*($E$16-1)) = 0, "", OFFSET('Default Vehicle Configurations'!U26, 20*($G$16-1), 10*($E$16-1)))</f>
        <v/>
      </c>
      <c r="J26" s="685" t="str">
        <f ca="1">IF(OFFSET('Default Vehicle Configurations'!V26, 20*($G$16-1), 10*($E$16-1)) = 0, "", OFFSET('Default Vehicle Configurations'!V26, 20*($G$16-1), 10*($E$16-1)))</f>
        <v/>
      </c>
      <c r="K26" s="685" t="str">
        <f ca="1">IF(OFFSET('Default Vehicle Configurations'!W26, 20*($G$16-1), 10*($E$16-1)) = 0, "", OFFSET('Default Vehicle Configurations'!W26, 20*($G$16-1), 10*($E$16-1)))</f>
        <v/>
      </c>
      <c r="L26" s="686" t="str">
        <f ca="1">IF(OFFSET('Default Vehicle Configurations'!X26, 20*($G$16-1), 10*($E$16-1)) = 0, "", OFFSET('Default Vehicle Configurations'!X26, 20*($G$16-1), 10*($E$16-1)))</f>
        <v/>
      </c>
      <c r="P26" s="228"/>
      <c r="Q26" s="204" t="s">
        <v>2188</v>
      </c>
      <c r="R26" s="240"/>
      <c r="S26" s="195"/>
      <c r="T26" s="195"/>
      <c r="U26" s="195"/>
      <c r="V26" s="195"/>
      <c r="W26" s="195"/>
      <c r="X26" s="633"/>
      <c r="Y26" s="229"/>
      <c r="Z26" s="228"/>
      <c r="AA26" s="204" t="s">
        <v>2188</v>
      </c>
      <c r="AB26" s="240"/>
      <c r="AC26" s="195"/>
      <c r="AD26" s="195"/>
      <c r="AE26" s="195"/>
      <c r="AF26" s="195"/>
      <c r="AG26" s="195"/>
      <c r="AH26" s="633"/>
      <c r="AI26" s="229"/>
      <c r="AJ26" s="228"/>
      <c r="AK26" s="204" t="s">
        <v>2188</v>
      </c>
      <c r="AL26" s="240"/>
      <c r="AM26" s="195"/>
      <c r="AN26" s="195"/>
      <c r="AO26" s="195"/>
      <c r="AP26" s="195"/>
      <c r="AQ26" s="195"/>
      <c r="AR26" s="633"/>
      <c r="AS26" s="229"/>
      <c r="AT26" s="228"/>
      <c r="AU26" s="204" t="s">
        <v>2188</v>
      </c>
      <c r="AV26" s="240"/>
      <c r="AW26" s="195"/>
      <c r="AX26" s="195"/>
      <c r="AY26" s="195"/>
      <c r="AZ26" s="195"/>
      <c r="BA26" s="195"/>
      <c r="BB26" s="633"/>
      <c r="BC26" s="229"/>
      <c r="BD26" s="228"/>
      <c r="BE26" s="204" t="s">
        <v>2188</v>
      </c>
      <c r="BF26" s="240"/>
      <c r="BG26" s="195"/>
      <c r="BH26" s="195"/>
      <c r="BI26" s="195"/>
      <c r="BJ26" s="195"/>
      <c r="BK26" s="195"/>
      <c r="BL26" s="633"/>
      <c r="BM26" s="229"/>
    </row>
    <row r="27" spans="4:65" ht="22.5" customHeight="1" thickBot="1" x14ac:dyDescent="0.25">
      <c r="D27" s="613" t="s">
        <v>2189</v>
      </c>
      <c r="E27" s="646">
        <v>54</v>
      </c>
      <c r="F27" s="687">
        <f ca="1">IF(OFFSET('Default Vehicle Configurations'!R27, 20*($G$16-1), 10*($E$16-1)) = 0, "", OFFSET('Default Vehicle Configurations'!R27, 20*($G$16-1), 10*($E$16-1)))</f>
        <v>100</v>
      </c>
      <c r="G27" s="688">
        <f ca="1">IF(OFFSET('Default Vehicle Configurations'!S27, 20*($G$16-1), 10*($E$16-1)) = 0, "", OFFSET('Default Vehicle Configurations'!S27, 20*($G$16-1), 10*($E$16-1)))</f>
        <v>100</v>
      </c>
      <c r="H27" s="688">
        <f ca="1">IF(OFFSET('Default Vehicle Configurations'!T27, 20*($G$16-1), 10*($E$16-1)) = 0, "", OFFSET('Default Vehicle Configurations'!T27, 20*($G$16-1), 10*($E$16-1)))</f>
        <v>100</v>
      </c>
      <c r="I27" s="688">
        <f ca="1">IF(OFFSET('Default Vehicle Configurations'!U27, 20*($G$16-1), 10*($E$16-1)) = 0, "", OFFSET('Default Vehicle Configurations'!U27, 20*($G$16-1), 10*($E$16-1)))</f>
        <v>100</v>
      </c>
      <c r="J27" s="688">
        <f ca="1">IF(OFFSET('Default Vehicle Configurations'!V27, 20*($G$16-1), 10*($E$16-1)) = 0, "", OFFSET('Default Vehicle Configurations'!V27, 20*($G$16-1), 10*($E$16-1)))</f>
        <v>100</v>
      </c>
      <c r="K27" s="688">
        <f ca="1">IF(OFFSET('Default Vehicle Configurations'!W27, 20*($G$16-1), 10*($E$16-1)) = 0, "", OFFSET('Default Vehicle Configurations'!W27, 20*($G$16-1), 10*($E$16-1)))</f>
        <v>100</v>
      </c>
      <c r="L27" s="689">
        <f ca="1">IF(OFFSET('Default Vehicle Configurations'!X27, 20*($G$16-1), 10*($E$16-1)) = 0, "", OFFSET('Default Vehicle Configurations'!X27, 20*($G$16-1), 10*($E$16-1)))</f>
        <v>100</v>
      </c>
      <c r="P27" s="228"/>
      <c r="Q27" s="204" t="s">
        <v>2189</v>
      </c>
      <c r="R27" s="634">
        <v>1</v>
      </c>
      <c r="S27" s="635">
        <v>1</v>
      </c>
      <c r="T27" s="635">
        <v>1</v>
      </c>
      <c r="U27" s="635">
        <v>1</v>
      </c>
      <c r="V27" s="635">
        <v>1</v>
      </c>
      <c r="W27" s="635">
        <v>1</v>
      </c>
      <c r="X27" s="636">
        <v>1</v>
      </c>
      <c r="Y27" s="229"/>
      <c r="Z27" s="228"/>
      <c r="AA27" s="204" t="s">
        <v>2189</v>
      </c>
      <c r="AB27" s="634">
        <v>10</v>
      </c>
      <c r="AC27" s="635">
        <v>10</v>
      </c>
      <c r="AD27" s="635">
        <v>10</v>
      </c>
      <c r="AE27" s="635">
        <v>10</v>
      </c>
      <c r="AF27" s="635">
        <v>10</v>
      </c>
      <c r="AG27" s="635">
        <v>10</v>
      </c>
      <c r="AH27" s="635">
        <v>10</v>
      </c>
      <c r="AI27" s="229"/>
      <c r="AJ27" s="228"/>
      <c r="AK27" s="204" t="s">
        <v>2189</v>
      </c>
      <c r="AL27" s="634">
        <v>10</v>
      </c>
      <c r="AM27" s="635">
        <v>10</v>
      </c>
      <c r="AN27" s="635">
        <v>10</v>
      </c>
      <c r="AO27" s="635">
        <v>10</v>
      </c>
      <c r="AP27" s="635">
        <v>10</v>
      </c>
      <c r="AQ27" s="635">
        <v>10</v>
      </c>
      <c r="AR27" s="635">
        <v>10</v>
      </c>
      <c r="AS27" s="229"/>
      <c r="AT27" s="228"/>
      <c r="AU27" s="204" t="s">
        <v>2189</v>
      </c>
      <c r="AV27" s="634">
        <v>100</v>
      </c>
      <c r="AW27" s="635">
        <v>100</v>
      </c>
      <c r="AX27" s="635">
        <v>100</v>
      </c>
      <c r="AY27" s="635">
        <v>100</v>
      </c>
      <c r="AZ27" s="635">
        <v>100</v>
      </c>
      <c r="BA27" s="635">
        <v>100</v>
      </c>
      <c r="BB27" s="636">
        <v>100</v>
      </c>
      <c r="BC27" s="229"/>
      <c r="BD27" s="228"/>
      <c r="BE27" s="204" t="s">
        <v>2189</v>
      </c>
      <c r="BF27" s="634"/>
      <c r="BG27" s="635"/>
      <c r="BH27" s="635"/>
      <c r="BI27" s="635"/>
      <c r="BJ27" s="635"/>
      <c r="BK27" s="635"/>
      <c r="BL27" s="636"/>
      <c r="BM27" s="229"/>
    </row>
    <row r="28" spans="4:65" ht="27.75" customHeight="1" thickBot="1" x14ac:dyDescent="0.25">
      <c r="D28" s="319"/>
      <c r="E28" s="647"/>
      <c r="F28" s="237"/>
      <c r="G28" s="237"/>
      <c r="H28" s="237"/>
      <c r="I28" s="237"/>
      <c r="J28" s="237"/>
      <c r="K28" s="237"/>
      <c r="L28" s="484"/>
      <c r="P28" s="228"/>
      <c r="R28" s="6"/>
      <c r="S28" s="6"/>
      <c r="T28" s="6"/>
      <c r="U28" s="6"/>
      <c r="V28" s="6"/>
      <c r="W28" s="6"/>
      <c r="X28" s="6"/>
      <c r="Y28" s="229"/>
      <c r="Z28" s="228"/>
      <c r="AB28" s="6"/>
      <c r="AC28" s="6"/>
      <c r="AD28" s="6"/>
      <c r="AE28" s="6"/>
      <c r="AF28" s="6"/>
      <c r="AG28" s="6"/>
      <c r="AH28" s="6"/>
      <c r="AI28" s="229"/>
      <c r="AJ28" s="228"/>
      <c r="AL28" s="6"/>
      <c r="AM28" s="6"/>
      <c r="AN28" s="6"/>
      <c r="AO28" s="6"/>
      <c r="AP28" s="6"/>
      <c r="AQ28" s="6"/>
      <c r="AR28" s="6"/>
      <c r="AS28" s="229"/>
      <c r="AT28" s="228"/>
      <c r="AV28" s="6"/>
      <c r="AW28" s="6"/>
      <c r="AX28" s="6"/>
      <c r="AY28" s="6"/>
      <c r="AZ28" s="6"/>
      <c r="BA28" s="6"/>
      <c r="BB28" s="6"/>
      <c r="BC28" s="229"/>
      <c r="BD28" s="228"/>
      <c r="BF28" s="6"/>
      <c r="BG28" s="6"/>
      <c r="BH28" s="6"/>
      <c r="BI28" s="6"/>
      <c r="BJ28" s="6"/>
      <c r="BK28" s="6"/>
      <c r="BL28" s="6"/>
      <c r="BM28" s="229"/>
    </row>
    <row r="29" spans="4:65" ht="48" customHeight="1" thickBot="1" x14ac:dyDescent="0.2">
      <c r="D29" s="613" t="s">
        <v>99</v>
      </c>
      <c r="E29" s="646">
        <v>110</v>
      </c>
      <c r="F29" s="690">
        <f ca="1">OFFSET('Default Vehicle Configurations'!R29, 20*($G$16-1), 10*($E$16-1))</f>
        <v>500000</v>
      </c>
      <c r="G29" s="691">
        <f ca="1">OFFSET('Default Vehicle Configurations'!S29, 20*($G$16-1), 10*($E$16-1))</f>
        <v>500000</v>
      </c>
      <c r="H29" s="691">
        <f ca="1">OFFSET('Default Vehicle Configurations'!T29, 20*($G$16-1), 10*($E$16-1))</f>
        <v>500000</v>
      </c>
      <c r="I29" s="691">
        <f ca="1">OFFSET('Default Vehicle Configurations'!U29, 20*($G$16-1), 10*($E$16-1))</f>
        <v>500000</v>
      </c>
      <c r="J29" s="691">
        <f ca="1">OFFSET('Default Vehicle Configurations'!V29, 20*($G$16-1), 10*($E$16-1))</f>
        <v>500000</v>
      </c>
      <c r="K29" s="691">
        <f ca="1">OFFSET('Default Vehicle Configurations'!W29, 20*($G$16-1), 10*($E$16-1))</f>
        <v>500000</v>
      </c>
      <c r="L29" s="692">
        <f ca="1">OFFSET('Default Vehicle Configurations'!X29, 20*($G$16-1), 10*($E$16-1))</f>
        <v>500000</v>
      </c>
      <c r="P29" s="228"/>
      <c r="Q29" s="204" t="s">
        <v>99</v>
      </c>
      <c r="R29" s="637">
        <v>500000</v>
      </c>
      <c r="S29" s="638">
        <v>500000</v>
      </c>
      <c r="T29" s="638">
        <v>500000</v>
      </c>
      <c r="U29" s="638">
        <v>500000</v>
      </c>
      <c r="V29" s="638">
        <v>500000</v>
      </c>
      <c r="W29" s="638">
        <v>500000</v>
      </c>
      <c r="X29" s="639">
        <v>500000</v>
      </c>
      <c r="Y29" s="229"/>
      <c r="Z29" s="228"/>
      <c r="AA29" s="204" t="s">
        <v>99</v>
      </c>
      <c r="AB29" s="637">
        <v>500000</v>
      </c>
      <c r="AC29" s="638">
        <v>500000</v>
      </c>
      <c r="AD29" s="638">
        <v>500000</v>
      </c>
      <c r="AE29" s="638">
        <v>500000</v>
      </c>
      <c r="AF29" s="638">
        <v>500000</v>
      </c>
      <c r="AG29" s="638">
        <v>500000</v>
      </c>
      <c r="AH29" s="639">
        <v>500000</v>
      </c>
      <c r="AI29" s="229"/>
      <c r="AJ29" s="228"/>
      <c r="AK29" s="204" t="s">
        <v>99</v>
      </c>
      <c r="AL29" s="637">
        <v>500000</v>
      </c>
      <c r="AM29" s="638">
        <v>500000</v>
      </c>
      <c r="AN29" s="638">
        <v>500000</v>
      </c>
      <c r="AO29" s="638">
        <v>500000</v>
      </c>
      <c r="AP29" s="638">
        <v>500000</v>
      </c>
      <c r="AQ29" s="638">
        <v>500000</v>
      </c>
      <c r="AR29" s="639">
        <v>500000</v>
      </c>
      <c r="AS29" s="229"/>
      <c r="AT29" s="228"/>
      <c r="AU29" s="204" t="s">
        <v>99</v>
      </c>
      <c r="AV29" s="637">
        <v>500000</v>
      </c>
      <c r="AW29" s="638">
        <v>500000</v>
      </c>
      <c r="AX29" s="638">
        <v>500000</v>
      </c>
      <c r="AY29" s="638">
        <v>500000</v>
      </c>
      <c r="AZ29" s="638">
        <v>500000</v>
      </c>
      <c r="BA29" s="638">
        <v>500000</v>
      </c>
      <c r="BB29" s="639">
        <v>500000</v>
      </c>
      <c r="BC29" s="229"/>
      <c r="BD29" s="228"/>
      <c r="BE29" s="204" t="s">
        <v>99</v>
      </c>
      <c r="BF29" s="637"/>
      <c r="BG29" s="638"/>
      <c r="BH29" s="638"/>
      <c r="BI29" s="638"/>
      <c r="BJ29" s="638"/>
      <c r="BK29" s="638"/>
      <c r="BL29" s="639"/>
      <c r="BM29" s="229"/>
    </row>
    <row r="30" spans="4:65" x14ac:dyDescent="0.15">
      <c r="D30" s="357"/>
      <c r="E30" s="648"/>
      <c r="L30" s="229"/>
      <c r="P30" s="228"/>
      <c r="Y30" s="229"/>
      <c r="Z30" s="228"/>
      <c r="AI30" s="229"/>
      <c r="AJ30" s="228"/>
      <c r="AS30" s="229"/>
      <c r="AT30" s="228"/>
      <c r="BC30" s="229"/>
      <c r="BD30" s="228"/>
      <c r="BM30" s="229"/>
    </row>
    <row r="31" spans="4:65" ht="16" x14ac:dyDescent="0.15">
      <c r="D31" s="617"/>
      <c r="E31" s="648"/>
      <c r="L31" s="229"/>
      <c r="P31" s="228"/>
      <c r="Y31" s="229"/>
      <c r="Z31" s="228"/>
      <c r="AI31" s="229"/>
      <c r="AJ31" s="228"/>
      <c r="AS31" s="229"/>
      <c r="AT31" s="228"/>
      <c r="BC31" s="229"/>
      <c r="BD31" s="228"/>
      <c r="BM31" s="229"/>
    </row>
    <row r="32" spans="4:65" x14ac:dyDescent="0.15">
      <c r="D32" s="228"/>
      <c r="E32" s="648"/>
      <c r="L32" s="229"/>
      <c r="P32" s="228"/>
      <c r="Y32" s="229"/>
      <c r="Z32" s="228"/>
      <c r="AI32" s="229"/>
      <c r="AJ32" s="228"/>
      <c r="AS32" s="229"/>
      <c r="AT32" s="228"/>
      <c r="BC32" s="229"/>
      <c r="BD32" s="228"/>
      <c r="BM32" s="229"/>
    </row>
    <row r="33" spans="4:65" ht="14" thickBot="1" x14ac:dyDescent="0.2">
      <c r="D33" s="241"/>
      <c r="E33" s="649"/>
      <c r="F33" s="40"/>
      <c r="G33" s="40"/>
      <c r="H33" s="40"/>
      <c r="I33" s="40"/>
      <c r="J33" s="40"/>
      <c r="K33" s="40"/>
      <c r="L33" s="242"/>
      <c r="P33" s="228"/>
      <c r="Y33" s="229"/>
      <c r="Z33" s="228"/>
      <c r="AI33" s="229"/>
      <c r="AJ33" s="228"/>
      <c r="AS33" s="229"/>
      <c r="AT33" s="228"/>
      <c r="BC33" s="229"/>
      <c r="BD33" s="228"/>
      <c r="BM33" s="229"/>
    </row>
    <row r="34" spans="4:65" ht="14" thickBot="1" x14ac:dyDescent="0.2">
      <c r="P34" s="241"/>
      <c r="Q34" s="40"/>
      <c r="R34" s="40"/>
      <c r="S34" s="40"/>
      <c r="T34" s="40"/>
      <c r="U34" s="40"/>
      <c r="V34" s="40"/>
      <c r="W34" s="40"/>
      <c r="X34" s="40"/>
      <c r="Y34" s="242"/>
      <c r="Z34" s="241"/>
      <c r="AA34" s="40"/>
      <c r="AB34" s="40"/>
      <c r="AC34" s="40"/>
      <c r="AD34" s="40"/>
      <c r="AE34" s="40"/>
      <c r="AF34" s="40"/>
      <c r="AG34" s="40"/>
      <c r="AH34" s="40"/>
      <c r="AI34" s="242"/>
      <c r="AJ34" s="241"/>
      <c r="AK34" s="40"/>
      <c r="AL34" s="40"/>
      <c r="AM34" s="40"/>
      <c r="AN34" s="40"/>
      <c r="AO34" s="40"/>
      <c r="AP34" s="40"/>
      <c r="AQ34" s="40"/>
      <c r="AR34" s="40"/>
      <c r="AS34" s="242"/>
      <c r="AT34" s="241"/>
      <c r="AU34" s="40"/>
      <c r="AV34" s="40"/>
      <c r="AW34" s="40"/>
      <c r="AX34" s="40"/>
      <c r="AY34" s="40"/>
      <c r="AZ34" s="40"/>
      <c r="BA34" s="40"/>
      <c r="BB34" s="40"/>
      <c r="BC34" s="242"/>
      <c r="BD34" s="241"/>
      <c r="BE34" s="40"/>
      <c r="BF34" s="40"/>
      <c r="BG34" s="40"/>
      <c r="BH34" s="40"/>
      <c r="BI34" s="40"/>
      <c r="BJ34" s="40"/>
      <c r="BK34" s="40"/>
      <c r="BL34" s="40"/>
      <c r="BM34" s="242"/>
    </row>
    <row r="35" spans="4:65" ht="19" thickBot="1" x14ac:dyDescent="0.25">
      <c r="P35" s="662"/>
      <c r="Q35" s="663" t="s">
        <v>2180</v>
      </c>
      <c r="R35" s="664">
        <f>Y$13-Y35+1</f>
        <v>2</v>
      </c>
      <c r="S35" s="663" t="s">
        <v>2181</v>
      </c>
      <c r="T35" s="614"/>
      <c r="U35" s="669" t="str">
        <f>"Default " &amp; R35</f>
        <v>Default 2</v>
      </c>
      <c r="V35" s="670"/>
      <c r="W35" s="670"/>
      <c r="X35" s="671"/>
      <c r="Y35" s="665">
        <f>Y55+1</f>
        <v>2</v>
      </c>
      <c r="Z35" s="662"/>
      <c r="AA35" s="663" t="s">
        <v>2180</v>
      </c>
      <c r="AB35" s="664">
        <f>AI$13-AI35+1</f>
        <v>2</v>
      </c>
      <c r="AC35" s="663" t="s">
        <v>2181</v>
      </c>
      <c r="AD35" s="614"/>
      <c r="AE35" s="669" t="str">
        <f>"Default " &amp; AB35</f>
        <v>Default 2</v>
      </c>
      <c r="AF35" s="670"/>
      <c r="AG35" s="670"/>
      <c r="AH35" s="671"/>
      <c r="AI35" s="665">
        <f>AI55+1</f>
        <v>2</v>
      </c>
      <c r="AJ35" s="662"/>
      <c r="AK35" s="663" t="s">
        <v>2180</v>
      </c>
      <c r="AL35" s="664">
        <f>AS$13-AS35+1</f>
        <v>2</v>
      </c>
      <c r="AM35" s="663" t="s">
        <v>2181</v>
      </c>
      <c r="AN35" s="614"/>
      <c r="AO35" s="669" t="str">
        <f>"Default " &amp; AL35</f>
        <v>Default 2</v>
      </c>
      <c r="AP35" s="670"/>
      <c r="AQ35" s="670"/>
      <c r="AR35" s="671"/>
      <c r="AS35" s="665">
        <f>AS55+1</f>
        <v>1</v>
      </c>
      <c r="AT35" s="662"/>
      <c r="AU35" s="663" t="s">
        <v>2180</v>
      </c>
      <c r="AV35" s="664">
        <f>BC$13-BC35+1</f>
        <v>2</v>
      </c>
      <c r="AW35" s="663" t="s">
        <v>2181</v>
      </c>
      <c r="AX35" s="614"/>
      <c r="AY35" s="669" t="str">
        <f>"Default " &amp; AV35</f>
        <v>Default 2</v>
      </c>
      <c r="AZ35" s="670"/>
      <c r="BA35" s="670"/>
      <c r="BB35" s="671"/>
      <c r="BC35" s="665">
        <f>BC55+1</f>
        <v>3</v>
      </c>
    </row>
    <row r="36" spans="4:65" ht="17" thickBot="1" x14ac:dyDescent="0.25">
      <c r="P36" s="228"/>
      <c r="Q36" s="6" t="s">
        <v>719</v>
      </c>
      <c r="R36" s="666"/>
      <c r="S36" s="667"/>
      <c r="T36" s="667"/>
      <c r="U36" s="667"/>
      <c r="V36" s="667"/>
      <c r="W36" s="667"/>
      <c r="X36" s="667"/>
      <c r="Y36" s="668"/>
      <c r="Z36" s="228"/>
      <c r="AA36" s="6" t="s">
        <v>719</v>
      </c>
      <c r="AB36" s="666"/>
      <c r="AC36" s="667"/>
      <c r="AD36" s="667"/>
      <c r="AE36" s="667"/>
      <c r="AF36" s="667"/>
      <c r="AG36" s="667"/>
      <c r="AH36" s="667"/>
      <c r="AI36" s="668"/>
      <c r="AJ36" s="228"/>
      <c r="AK36" s="6" t="s">
        <v>719</v>
      </c>
      <c r="AL36" s="666"/>
      <c r="AM36" s="667"/>
      <c r="AN36" s="667"/>
      <c r="AO36" s="667"/>
      <c r="AP36" s="667"/>
      <c r="AQ36" s="667"/>
      <c r="AR36" s="667"/>
      <c r="AS36" s="668"/>
      <c r="AT36" s="228"/>
      <c r="AU36" s="8" t="s">
        <v>719</v>
      </c>
      <c r="AV36" s="666"/>
      <c r="AW36" s="667"/>
      <c r="AX36" s="667"/>
      <c r="AY36" s="667"/>
      <c r="AZ36" s="667"/>
      <c r="BA36" s="667"/>
      <c r="BB36" s="667"/>
      <c r="BC36" s="668"/>
    </row>
    <row r="37" spans="4:65" ht="14" thickBot="1" x14ac:dyDescent="0.2">
      <c r="P37" s="228"/>
      <c r="Y37" s="229"/>
      <c r="Z37" s="228"/>
      <c r="AI37" s="229"/>
      <c r="AJ37" s="228"/>
      <c r="AS37" s="229"/>
      <c r="AT37" s="228"/>
      <c r="BC37" s="229"/>
    </row>
    <row r="38" spans="4:65" ht="17" thickBot="1" x14ac:dyDescent="0.25">
      <c r="P38" s="228"/>
      <c r="Q38" s="6" t="s">
        <v>2003</v>
      </c>
      <c r="R38" s="641" t="s">
        <v>56</v>
      </c>
      <c r="S38" s="642" t="s">
        <v>57</v>
      </c>
      <c r="T38" s="642" t="s">
        <v>58</v>
      </c>
      <c r="U38" s="642" t="s">
        <v>59</v>
      </c>
      <c r="V38" s="642" t="s">
        <v>60</v>
      </c>
      <c r="W38" s="642" t="s">
        <v>61</v>
      </c>
      <c r="X38" s="643" t="s">
        <v>62</v>
      </c>
      <c r="Y38" s="229"/>
      <c r="Z38" s="228"/>
      <c r="AA38" s="6" t="s">
        <v>2003</v>
      </c>
      <c r="AB38" s="641" t="s">
        <v>56</v>
      </c>
      <c r="AC38" s="642" t="s">
        <v>57</v>
      </c>
      <c r="AD38" s="642" t="s">
        <v>58</v>
      </c>
      <c r="AE38" s="642" t="s">
        <v>59</v>
      </c>
      <c r="AF38" s="642" t="s">
        <v>60</v>
      </c>
      <c r="AG38" s="642" t="s">
        <v>61</v>
      </c>
      <c r="AH38" s="643" t="s">
        <v>62</v>
      </c>
      <c r="AI38" s="229"/>
      <c r="AJ38" s="228"/>
      <c r="AK38" s="6" t="s">
        <v>2003</v>
      </c>
      <c r="AL38" s="641" t="s">
        <v>56</v>
      </c>
      <c r="AM38" s="642" t="s">
        <v>57</v>
      </c>
      <c r="AN38" s="642" t="s">
        <v>58</v>
      </c>
      <c r="AO38" s="642" t="s">
        <v>59</v>
      </c>
      <c r="AP38" s="642" t="s">
        <v>60</v>
      </c>
      <c r="AQ38" s="642" t="s">
        <v>61</v>
      </c>
      <c r="AR38" s="643" t="s">
        <v>62</v>
      </c>
      <c r="AS38" s="229"/>
      <c r="AT38" s="228"/>
      <c r="AU38" s="6" t="s">
        <v>2003</v>
      </c>
      <c r="AV38" s="641" t="s">
        <v>56</v>
      </c>
      <c r="AW38" s="642" t="s">
        <v>57</v>
      </c>
      <c r="AX38" s="642" t="s">
        <v>58</v>
      </c>
      <c r="AY38" s="642" t="s">
        <v>59</v>
      </c>
      <c r="AZ38" s="642" t="s">
        <v>60</v>
      </c>
      <c r="BA38" s="642" t="s">
        <v>61</v>
      </c>
      <c r="BB38" s="643" t="s">
        <v>62</v>
      </c>
      <c r="BC38" s="229"/>
    </row>
    <row r="39" spans="4:65" ht="34" x14ac:dyDescent="0.2">
      <c r="P39" s="228"/>
      <c r="Q39" s="204" t="s">
        <v>82</v>
      </c>
      <c r="R39" s="620">
        <v>12</v>
      </c>
      <c r="S39" s="621">
        <v>9</v>
      </c>
      <c r="T39" s="621">
        <v>6</v>
      </c>
      <c r="U39" s="621">
        <v>3</v>
      </c>
      <c r="V39" s="621">
        <v>3</v>
      </c>
      <c r="W39" s="621">
        <v>15</v>
      </c>
      <c r="X39" s="622">
        <v>18</v>
      </c>
      <c r="Y39" s="229"/>
      <c r="Z39" s="228"/>
      <c r="AA39" s="204" t="s">
        <v>82</v>
      </c>
      <c r="AB39" s="620">
        <v>12</v>
      </c>
      <c r="AC39" s="621">
        <v>12</v>
      </c>
      <c r="AD39" s="621">
        <v>12</v>
      </c>
      <c r="AE39" s="621">
        <v>12</v>
      </c>
      <c r="AF39" s="621">
        <v>12</v>
      </c>
      <c r="AG39" s="621">
        <v>12</v>
      </c>
      <c r="AH39" s="621">
        <v>12</v>
      </c>
      <c r="AI39" s="229"/>
      <c r="AJ39" s="228"/>
      <c r="AK39" s="204" t="s">
        <v>82</v>
      </c>
      <c r="AL39" s="620">
        <v>26</v>
      </c>
      <c r="AM39" s="621">
        <v>28</v>
      </c>
      <c r="AN39" s="621">
        <v>30</v>
      </c>
      <c r="AO39" s="621">
        <v>32</v>
      </c>
      <c r="AP39" s="621">
        <v>34</v>
      </c>
      <c r="AQ39" s="621">
        <v>36</v>
      </c>
      <c r="AR39" s="622">
        <v>38</v>
      </c>
      <c r="AS39" s="229"/>
      <c r="AT39" s="228"/>
      <c r="AU39" s="204" t="s">
        <v>82</v>
      </c>
      <c r="AV39" s="620">
        <v>12</v>
      </c>
      <c r="AW39" s="621">
        <v>12</v>
      </c>
      <c r="AX39" s="621">
        <v>12</v>
      </c>
      <c r="AY39" s="621">
        <v>20</v>
      </c>
      <c r="AZ39" s="621">
        <v>20</v>
      </c>
      <c r="BA39" s="621">
        <v>12</v>
      </c>
      <c r="BB39" s="622">
        <v>12</v>
      </c>
      <c r="BC39" s="229"/>
    </row>
    <row r="40" spans="4:65" ht="34" x14ac:dyDescent="0.2">
      <c r="P40" s="228"/>
      <c r="Q40" s="204" t="s">
        <v>83</v>
      </c>
      <c r="R40" s="623">
        <v>4</v>
      </c>
      <c r="S40" s="526">
        <v>3</v>
      </c>
      <c r="T40" s="526">
        <v>2</v>
      </c>
      <c r="U40" s="526">
        <v>1</v>
      </c>
      <c r="V40" s="526">
        <v>1</v>
      </c>
      <c r="W40" s="526">
        <v>5</v>
      </c>
      <c r="X40" s="624">
        <v>6</v>
      </c>
      <c r="Y40" s="229"/>
      <c r="Z40" s="228"/>
      <c r="AA40" s="204" t="s">
        <v>83</v>
      </c>
      <c r="AB40" s="623">
        <v>1</v>
      </c>
      <c r="AC40" s="526">
        <v>1</v>
      </c>
      <c r="AD40" s="526">
        <v>1</v>
      </c>
      <c r="AE40" s="526">
        <v>1</v>
      </c>
      <c r="AF40" s="526">
        <v>1</v>
      </c>
      <c r="AG40" s="526">
        <v>1</v>
      </c>
      <c r="AH40" s="526">
        <v>1</v>
      </c>
      <c r="AI40" s="229"/>
      <c r="AJ40" s="228"/>
      <c r="AK40" s="204" t="s">
        <v>83</v>
      </c>
      <c r="AL40" s="623">
        <v>1</v>
      </c>
      <c r="AM40" s="526">
        <v>1</v>
      </c>
      <c r="AN40" s="526">
        <v>1</v>
      </c>
      <c r="AO40" s="526">
        <v>1</v>
      </c>
      <c r="AP40" s="526">
        <v>1</v>
      </c>
      <c r="AQ40" s="526">
        <v>1</v>
      </c>
      <c r="AR40" s="624">
        <v>1</v>
      </c>
      <c r="AS40" s="229"/>
      <c r="AT40" s="228"/>
      <c r="AU40" s="204" t="s">
        <v>83</v>
      </c>
      <c r="AV40" s="623">
        <v>4</v>
      </c>
      <c r="AW40" s="526">
        <v>2</v>
      </c>
      <c r="AX40" s="526">
        <v>3</v>
      </c>
      <c r="AY40" s="526">
        <v>2</v>
      </c>
      <c r="AZ40" s="526">
        <v>2</v>
      </c>
      <c r="BA40" s="526">
        <v>3</v>
      </c>
      <c r="BB40" s="624">
        <v>4</v>
      </c>
      <c r="BC40" s="229"/>
    </row>
    <row r="41" spans="4:65" ht="34" x14ac:dyDescent="0.2">
      <c r="P41" s="228"/>
      <c r="Q41" s="204" t="s">
        <v>84</v>
      </c>
      <c r="R41" s="625">
        <v>1</v>
      </c>
      <c r="S41" s="618">
        <v>1</v>
      </c>
      <c r="T41" s="618">
        <v>1</v>
      </c>
      <c r="U41" s="618">
        <v>1</v>
      </c>
      <c r="V41" s="618">
        <v>1</v>
      </c>
      <c r="W41" s="618">
        <v>1</v>
      </c>
      <c r="X41" s="626">
        <v>1</v>
      </c>
      <c r="Y41" s="229"/>
      <c r="Z41" s="228"/>
      <c r="AA41" s="204" t="s">
        <v>84</v>
      </c>
      <c r="AB41" s="625">
        <v>1</v>
      </c>
      <c r="AC41" s="618">
        <v>1</v>
      </c>
      <c r="AD41" s="618">
        <v>1</v>
      </c>
      <c r="AE41" s="618">
        <v>1</v>
      </c>
      <c r="AF41" s="618">
        <v>1</v>
      </c>
      <c r="AG41" s="618">
        <v>1</v>
      </c>
      <c r="AH41" s="618">
        <v>1</v>
      </c>
      <c r="AI41" s="229"/>
      <c r="AJ41" s="228"/>
      <c r="AK41" s="204" t="s">
        <v>84</v>
      </c>
      <c r="AL41" s="625">
        <v>1</v>
      </c>
      <c r="AM41" s="618">
        <v>1</v>
      </c>
      <c r="AN41" s="618">
        <v>1</v>
      </c>
      <c r="AO41" s="618">
        <v>1</v>
      </c>
      <c r="AP41" s="618">
        <v>1</v>
      </c>
      <c r="AQ41" s="618">
        <v>1</v>
      </c>
      <c r="AR41" s="626">
        <v>1</v>
      </c>
      <c r="AS41" s="229"/>
      <c r="AT41" s="228"/>
      <c r="AU41" s="204" t="s">
        <v>84</v>
      </c>
      <c r="AV41" s="625">
        <v>5</v>
      </c>
      <c r="AW41" s="618">
        <v>5</v>
      </c>
      <c r="AX41" s="618">
        <v>6</v>
      </c>
      <c r="AY41" s="618">
        <v>5</v>
      </c>
      <c r="AZ41" s="618">
        <v>4</v>
      </c>
      <c r="BA41" s="618">
        <v>5</v>
      </c>
      <c r="BB41" s="626">
        <v>6</v>
      </c>
      <c r="BC41" s="229"/>
    </row>
    <row r="42" spans="4:65" ht="34" x14ac:dyDescent="0.2">
      <c r="P42" s="228"/>
      <c r="Q42" s="204" t="s">
        <v>85</v>
      </c>
      <c r="R42" s="625">
        <v>1</v>
      </c>
      <c r="S42" s="618">
        <v>1</v>
      </c>
      <c r="T42" s="618">
        <v>1</v>
      </c>
      <c r="U42" s="618">
        <v>1</v>
      </c>
      <c r="V42" s="618">
        <v>2</v>
      </c>
      <c r="W42" s="618">
        <v>1</v>
      </c>
      <c r="X42" s="626">
        <v>1</v>
      </c>
      <c r="Y42" s="229"/>
      <c r="Z42" s="228"/>
      <c r="AA42" s="204" t="s">
        <v>85</v>
      </c>
      <c r="AB42" s="625">
        <v>1</v>
      </c>
      <c r="AC42" s="618">
        <v>1</v>
      </c>
      <c r="AD42" s="618">
        <v>1</v>
      </c>
      <c r="AE42" s="618">
        <v>1</v>
      </c>
      <c r="AF42" s="618">
        <v>1</v>
      </c>
      <c r="AG42" s="618">
        <v>1</v>
      </c>
      <c r="AH42" s="618">
        <v>1</v>
      </c>
      <c r="AI42" s="229"/>
      <c r="AJ42" s="228"/>
      <c r="AK42" s="204" t="s">
        <v>85</v>
      </c>
      <c r="AL42" s="625">
        <v>2</v>
      </c>
      <c r="AM42" s="618">
        <v>2</v>
      </c>
      <c r="AN42" s="618">
        <v>2</v>
      </c>
      <c r="AO42" s="618">
        <v>2</v>
      </c>
      <c r="AP42" s="618">
        <v>2</v>
      </c>
      <c r="AQ42" s="618">
        <v>2</v>
      </c>
      <c r="AR42" s="626">
        <v>2</v>
      </c>
      <c r="AS42" s="229"/>
      <c r="AT42" s="228"/>
      <c r="AU42" s="204" t="s">
        <v>85</v>
      </c>
      <c r="AV42" s="625">
        <v>4</v>
      </c>
      <c r="AW42" s="618">
        <v>4</v>
      </c>
      <c r="AX42" s="618">
        <v>4</v>
      </c>
      <c r="AY42" s="618">
        <v>4</v>
      </c>
      <c r="AZ42" s="618">
        <v>4</v>
      </c>
      <c r="BA42" s="618">
        <v>4</v>
      </c>
      <c r="BB42" s="626">
        <v>4</v>
      </c>
      <c r="BC42" s="229"/>
    </row>
    <row r="43" spans="4:65" ht="35" thickBot="1" x14ac:dyDescent="0.25">
      <c r="P43" s="228"/>
      <c r="Q43" s="204" t="s">
        <v>86</v>
      </c>
      <c r="R43" s="627">
        <v>1</v>
      </c>
      <c r="S43" s="628">
        <v>1</v>
      </c>
      <c r="T43" s="628">
        <v>1</v>
      </c>
      <c r="U43" s="628">
        <v>1</v>
      </c>
      <c r="V43" s="628">
        <v>2</v>
      </c>
      <c r="W43" s="628">
        <v>1</v>
      </c>
      <c r="X43" s="629">
        <v>1</v>
      </c>
      <c r="Y43" s="229"/>
      <c r="Z43" s="228"/>
      <c r="AA43" s="204" t="s">
        <v>86</v>
      </c>
      <c r="AB43" s="627">
        <v>1</v>
      </c>
      <c r="AC43" s="628">
        <v>1</v>
      </c>
      <c r="AD43" s="628">
        <v>1</v>
      </c>
      <c r="AE43" s="628">
        <v>1</v>
      </c>
      <c r="AF43" s="628">
        <v>1</v>
      </c>
      <c r="AG43" s="628">
        <v>1</v>
      </c>
      <c r="AH43" s="628">
        <v>1</v>
      </c>
      <c r="AI43" s="229"/>
      <c r="AJ43" s="228"/>
      <c r="AK43" s="204" t="s">
        <v>86</v>
      </c>
      <c r="AL43" s="627">
        <v>1</v>
      </c>
      <c r="AM43" s="628">
        <v>1</v>
      </c>
      <c r="AN43" s="628">
        <v>1</v>
      </c>
      <c r="AO43" s="628">
        <v>1</v>
      </c>
      <c r="AP43" s="628">
        <v>1</v>
      </c>
      <c r="AQ43" s="628">
        <v>1</v>
      </c>
      <c r="AR43" s="629">
        <v>1</v>
      </c>
      <c r="AS43" s="229"/>
      <c r="AT43" s="228"/>
      <c r="AU43" s="204" t="s">
        <v>86</v>
      </c>
      <c r="AV43" s="627">
        <v>1</v>
      </c>
      <c r="AW43" s="628">
        <v>1</v>
      </c>
      <c r="AX43" s="628">
        <v>1</v>
      </c>
      <c r="AY43" s="628">
        <v>2</v>
      </c>
      <c r="AZ43" s="628">
        <v>2</v>
      </c>
      <c r="BA43" s="628">
        <v>1</v>
      </c>
      <c r="BB43" s="629">
        <v>1</v>
      </c>
      <c r="BC43" s="229"/>
    </row>
    <row r="44" spans="4:65" ht="17" thickBot="1" x14ac:dyDescent="0.25">
      <c r="P44" s="228"/>
      <c r="R44" s="6"/>
      <c r="S44" s="6"/>
      <c r="T44" s="6"/>
      <c r="U44" s="6"/>
      <c r="V44" s="6"/>
      <c r="W44" s="6"/>
      <c r="X44" s="6"/>
      <c r="Y44" s="229"/>
      <c r="Z44" s="228"/>
      <c r="AB44" s="6"/>
      <c r="AC44" s="6"/>
      <c r="AD44" s="6"/>
      <c r="AE44" s="6"/>
      <c r="AF44" s="6"/>
      <c r="AG44" s="6"/>
      <c r="AH44" s="6"/>
      <c r="AI44" s="229"/>
      <c r="AJ44" s="228"/>
      <c r="AL44" s="6"/>
      <c r="AM44" s="6"/>
      <c r="AN44" s="6"/>
      <c r="AO44" s="6"/>
      <c r="AP44" s="6"/>
      <c r="AQ44" s="6"/>
      <c r="AR44" s="6"/>
      <c r="AS44" s="229"/>
      <c r="AT44" s="228"/>
      <c r="AV44" s="6"/>
      <c r="AW44" s="6"/>
      <c r="AX44" s="6"/>
      <c r="AY44" s="6"/>
      <c r="AZ44" s="6"/>
      <c r="BA44" s="6"/>
      <c r="BB44" s="6"/>
      <c r="BC44" s="229"/>
    </row>
    <row r="45" spans="4:65" ht="17" x14ac:dyDescent="0.2">
      <c r="P45" s="228"/>
      <c r="Q45" s="204" t="s">
        <v>2187</v>
      </c>
      <c r="R45" s="630">
        <v>40</v>
      </c>
      <c r="S45" s="631">
        <v>35</v>
      </c>
      <c r="T45" s="631">
        <v>35</v>
      </c>
      <c r="U45" s="631">
        <v>30</v>
      </c>
      <c r="V45" s="631">
        <v>28</v>
      </c>
      <c r="W45" s="631">
        <v>40</v>
      </c>
      <c r="X45" s="632">
        <v>40</v>
      </c>
      <c r="Y45" s="229"/>
      <c r="Z45" s="228"/>
      <c r="AA45" s="204" t="s">
        <v>2187</v>
      </c>
      <c r="AB45" s="630">
        <v>15</v>
      </c>
      <c r="AC45" s="631">
        <v>20</v>
      </c>
      <c r="AD45" s="631">
        <v>25</v>
      </c>
      <c r="AE45" s="631">
        <v>30</v>
      </c>
      <c r="AF45" s="631">
        <v>35</v>
      </c>
      <c r="AG45" s="631">
        <v>40</v>
      </c>
      <c r="AH45" s="631">
        <v>45</v>
      </c>
      <c r="AI45" s="229"/>
      <c r="AJ45" s="228"/>
      <c r="AK45" s="204" t="s">
        <v>2187</v>
      </c>
      <c r="AL45" s="630">
        <v>100</v>
      </c>
      <c r="AM45" s="631">
        <v>125</v>
      </c>
      <c r="AN45" s="631">
        <v>150</v>
      </c>
      <c r="AO45" s="631">
        <v>175</v>
      </c>
      <c r="AP45" s="631">
        <v>200</v>
      </c>
      <c r="AQ45" s="631">
        <v>225</v>
      </c>
      <c r="AR45" s="632">
        <v>250</v>
      </c>
      <c r="AS45" s="229"/>
      <c r="AT45" s="228"/>
      <c r="AU45" s="8" t="s">
        <v>2187</v>
      </c>
      <c r="AV45" s="630">
        <v>300</v>
      </c>
      <c r="AW45" s="631">
        <v>300</v>
      </c>
      <c r="AX45" s="631">
        <v>300</v>
      </c>
      <c r="AY45" s="631">
        <v>300</v>
      </c>
      <c r="AZ45" s="631">
        <v>300</v>
      </c>
      <c r="BA45" s="631">
        <v>300</v>
      </c>
      <c r="BB45" s="632">
        <v>300</v>
      </c>
      <c r="BC45" s="229"/>
    </row>
    <row r="46" spans="4:65" ht="17" x14ac:dyDescent="0.2">
      <c r="P46" s="228"/>
      <c r="Q46" s="204" t="s">
        <v>2188</v>
      </c>
      <c r="R46" s="240"/>
      <c r="S46" s="195"/>
      <c r="T46" s="195"/>
      <c r="U46" s="195"/>
      <c r="V46" s="195"/>
      <c r="W46" s="195"/>
      <c r="X46" s="633"/>
      <c r="Y46" s="229"/>
      <c r="Z46" s="228"/>
      <c r="AA46" s="204" t="s">
        <v>2188</v>
      </c>
      <c r="AB46" s="240"/>
      <c r="AC46" s="195"/>
      <c r="AD46" s="195"/>
      <c r="AE46" s="195"/>
      <c r="AF46" s="195"/>
      <c r="AG46" s="195"/>
      <c r="AH46" s="633"/>
      <c r="AI46" s="229"/>
      <c r="AJ46" s="228"/>
      <c r="AK46" s="204" t="s">
        <v>2188</v>
      </c>
      <c r="AL46" s="240"/>
      <c r="AM46" s="195"/>
      <c r="AN46" s="195"/>
      <c r="AO46" s="195"/>
      <c r="AP46" s="195"/>
      <c r="AQ46" s="195"/>
      <c r="AR46" s="633"/>
      <c r="AS46" s="229"/>
      <c r="AT46" s="228"/>
      <c r="AU46" s="204" t="s">
        <v>2188</v>
      </c>
      <c r="AV46" s="240"/>
      <c r="AW46" s="195"/>
      <c r="AX46" s="195"/>
      <c r="AY46" s="195"/>
      <c r="AZ46" s="195"/>
      <c r="BA46" s="195"/>
      <c r="BB46" s="633"/>
      <c r="BC46" s="229"/>
    </row>
    <row r="47" spans="4:65" ht="18" thickBot="1" x14ac:dyDescent="0.25">
      <c r="P47" s="228"/>
      <c r="Q47" s="204" t="s">
        <v>2189</v>
      </c>
      <c r="R47" s="634">
        <v>1</v>
      </c>
      <c r="S47" s="635">
        <v>1</v>
      </c>
      <c r="T47" s="635">
        <v>1</v>
      </c>
      <c r="U47" s="635">
        <v>1</v>
      </c>
      <c r="V47" s="635">
        <v>1</v>
      </c>
      <c r="W47" s="635">
        <v>1</v>
      </c>
      <c r="X47" s="636">
        <v>1</v>
      </c>
      <c r="Y47" s="229"/>
      <c r="Z47" s="228"/>
      <c r="AA47" s="204" t="s">
        <v>2189</v>
      </c>
      <c r="AB47" s="634">
        <v>1</v>
      </c>
      <c r="AC47" s="635">
        <v>1</v>
      </c>
      <c r="AD47" s="635">
        <v>1</v>
      </c>
      <c r="AE47" s="635">
        <v>1</v>
      </c>
      <c r="AF47" s="635">
        <v>1</v>
      </c>
      <c r="AG47" s="635">
        <v>1</v>
      </c>
      <c r="AH47" s="636">
        <v>1</v>
      </c>
      <c r="AI47" s="229"/>
      <c r="AJ47" s="228"/>
      <c r="AK47" s="204" t="s">
        <v>2189</v>
      </c>
      <c r="AL47" s="634">
        <v>20</v>
      </c>
      <c r="AM47" s="635">
        <v>20</v>
      </c>
      <c r="AN47" s="635">
        <v>20</v>
      </c>
      <c r="AO47" s="635">
        <v>20</v>
      </c>
      <c r="AP47" s="635">
        <v>20</v>
      </c>
      <c r="AQ47" s="635">
        <v>20</v>
      </c>
      <c r="AR47" s="636">
        <v>20</v>
      </c>
      <c r="AS47" s="229"/>
      <c r="AT47" s="228"/>
      <c r="AU47" s="204" t="s">
        <v>2189</v>
      </c>
      <c r="AV47" s="634">
        <v>100</v>
      </c>
      <c r="AW47" s="635">
        <v>100</v>
      </c>
      <c r="AX47" s="635">
        <v>100</v>
      </c>
      <c r="AY47" s="635">
        <v>100</v>
      </c>
      <c r="AZ47" s="635">
        <v>100</v>
      </c>
      <c r="BA47" s="635">
        <v>100</v>
      </c>
      <c r="BB47" s="636">
        <v>100</v>
      </c>
      <c r="BC47" s="229"/>
    </row>
    <row r="48" spans="4:65" ht="17" thickBot="1" x14ac:dyDescent="0.25">
      <c r="P48" s="228"/>
      <c r="R48" s="6"/>
      <c r="S48" s="6"/>
      <c r="T48" s="6"/>
      <c r="U48" s="6"/>
      <c r="V48" s="6"/>
      <c r="W48" s="6"/>
      <c r="X48" s="6"/>
      <c r="Y48" s="229"/>
      <c r="Z48" s="228"/>
      <c r="AB48" s="6"/>
      <c r="AC48" s="6"/>
      <c r="AD48" s="6"/>
      <c r="AE48" s="6"/>
      <c r="AF48" s="6"/>
      <c r="AG48" s="6"/>
      <c r="AH48" s="6"/>
      <c r="AI48" s="229"/>
      <c r="AJ48" s="228"/>
      <c r="AL48" s="6"/>
      <c r="AM48" s="6"/>
      <c r="AN48" s="6"/>
      <c r="AO48" s="6"/>
      <c r="AP48" s="6"/>
      <c r="AQ48" s="6"/>
      <c r="AR48" s="6"/>
      <c r="AS48" s="229"/>
      <c r="AT48" s="228"/>
      <c r="AV48" s="6"/>
      <c r="AW48" s="6"/>
      <c r="AX48" s="6"/>
      <c r="AY48" s="6"/>
      <c r="AZ48" s="6"/>
      <c r="BA48" s="6"/>
      <c r="BB48" s="6"/>
      <c r="BC48" s="229"/>
    </row>
    <row r="49" spans="16:55" ht="35" thickBot="1" x14ac:dyDescent="0.2">
      <c r="P49" s="228"/>
      <c r="Q49" s="204" t="s">
        <v>99</v>
      </c>
      <c r="R49" s="637">
        <v>500000</v>
      </c>
      <c r="S49" s="638">
        <v>500000</v>
      </c>
      <c r="T49" s="638">
        <v>500000</v>
      </c>
      <c r="U49" s="638">
        <v>500000</v>
      </c>
      <c r="V49" s="638">
        <v>500000</v>
      </c>
      <c r="W49" s="638">
        <v>500000</v>
      </c>
      <c r="X49" s="639">
        <v>500000</v>
      </c>
      <c r="Y49" s="229"/>
      <c r="Z49" s="228"/>
      <c r="AA49" s="204" t="s">
        <v>99</v>
      </c>
      <c r="AB49" s="637">
        <v>500000</v>
      </c>
      <c r="AC49" s="638">
        <v>500000</v>
      </c>
      <c r="AD49" s="638">
        <v>500000</v>
      </c>
      <c r="AE49" s="638">
        <v>500000</v>
      </c>
      <c r="AF49" s="638">
        <v>500000</v>
      </c>
      <c r="AG49" s="638">
        <v>500000</v>
      </c>
      <c r="AH49" s="639">
        <v>500000</v>
      </c>
      <c r="AI49" s="229"/>
      <c r="AJ49" s="228"/>
      <c r="AK49" s="204" t="s">
        <v>99</v>
      </c>
      <c r="AL49" s="637">
        <v>500000</v>
      </c>
      <c r="AM49" s="638">
        <v>500000</v>
      </c>
      <c r="AN49" s="638">
        <v>500000</v>
      </c>
      <c r="AO49" s="638">
        <v>500000</v>
      </c>
      <c r="AP49" s="638">
        <v>500000</v>
      </c>
      <c r="AQ49" s="638">
        <v>500000</v>
      </c>
      <c r="AR49" s="639">
        <v>500000</v>
      </c>
      <c r="AS49" s="229"/>
      <c r="AT49" s="228"/>
      <c r="AU49" s="204" t="s">
        <v>99</v>
      </c>
      <c r="AV49" s="637">
        <v>500000</v>
      </c>
      <c r="AW49" s="638">
        <v>500000</v>
      </c>
      <c r="AX49" s="638">
        <v>500000</v>
      </c>
      <c r="AY49" s="638">
        <v>500000</v>
      </c>
      <c r="AZ49" s="638">
        <v>500000</v>
      </c>
      <c r="BA49" s="638">
        <v>500000</v>
      </c>
      <c r="BB49" s="639">
        <v>500000</v>
      </c>
      <c r="BC49" s="229"/>
    </row>
    <row r="50" spans="16:55" x14ac:dyDescent="0.15">
      <c r="P50" s="228"/>
      <c r="Y50" s="229"/>
      <c r="Z50" s="228"/>
      <c r="AI50" s="229"/>
      <c r="AJ50" s="228"/>
      <c r="AS50" s="229"/>
      <c r="AT50" s="228"/>
      <c r="BC50" s="229"/>
    </row>
    <row r="51" spans="16:55" x14ac:dyDescent="0.15">
      <c r="P51" s="228"/>
      <c r="Y51" s="229"/>
      <c r="Z51" s="228"/>
      <c r="AI51" s="229"/>
      <c r="AJ51" s="228"/>
      <c r="AS51" s="229"/>
      <c r="AT51" s="228"/>
      <c r="BC51" s="229"/>
    </row>
    <row r="52" spans="16:55" x14ac:dyDescent="0.15">
      <c r="P52" s="228"/>
      <c r="Y52" s="229"/>
      <c r="Z52" s="228"/>
      <c r="AI52" s="229"/>
      <c r="AJ52" s="228"/>
      <c r="AS52" s="229"/>
      <c r="AT52" s="228"/>
      <c r="BC52" s="229"/>
    </row>
    <row r="53" spans="16:55" x14ac:dyDescent="0.15">
      <c r="P53" s="228"/>
      <c r="Y53" s="229"/>
      <c r="Z53" s="228"/>
      <c r="AI53" s="229"/>
      <c r="AJ53" s="228"/>
      <c r="AS53" s="229"/>
      <c r="AT53" s="228"/>
      <c r="BC53" s="229"/>
    </row>
    <row r="54" spans="16:55" ht="14" thickBot="1" x14ac:dyDescent="0.2">
      <c r="P54" s="241"/>
      <c r="Q54" s="40"/>
      <c r="R54" s="40"/>
      <c r="S54" s="40"/>
      <c r="T54" s="40"/>
      <c r="U54" s="40"/>
      <c r="V54" s="40"/>
      <c r="W54" s="40"/>
      <c r="X54" s="40"/>
      <c r="Y54" s="242"/>
      <c r="Z54" s="241"/>
      <c r="AA54" s="40"/>
      <c r="AB54" s="40"/>
      <c r="AC54" s="40"/>
      <c r="AD54" s="40"/>
      <c r="AE54" s="40"/>
      <c r="AF54" s="40"/>
      <c r="AG54" s="40"/>
      <c r="AH54" s="40"/>
      <c r="AI54" s="242"/>
      <c r="AJ54" s="241"/>
      <c r="AK54" s="40"/>
      <c r="AL54" s="40"/>
      <c r="AM54" s="40"/>
      <c r="AN54" s="40"/>
      <c r="AO54" s="40"/>
      <c r="AP54" s="40"/>
      <c r="AQ54" s="40"/>
      <c r="AR54" s="40"/>
      <c r="AS54" s="242"/>
      <c r="AT54" s="241"/>
      <c r="AU54" s="40"/>
      <c r="AV54" s="40"/>
      <c r="AW54" s="40"/>
      <c r="AX54" s="40"/>
      <c r="AY54" s="40"/>
      <c r="AZ54" s="40"/>
      <c r="BA54" s="40"/>
      <c r="BB54" s="40"/>
      <c r="BC54" s="242"/>
    </row>
    <row r="55" spans="16:55" ht="19" thickBot="1" x14ac:dyDescent="0.25">
      <c r="P55" s="662"/>
      <c r="Q55" s="663" t="s">
        <v>2180</v>
      </c>
      <c r="R55" s="664">
        <f>Y$13-Y55+1</f>
        <v>3</v>
      </c>
      <c r="S55" s="663" t="s">
        <v>2181</v>
      </c>
      <c r="T55" s="614"/>
      <c r="U55" s="669" t="str">
        <f>"Default " &amp; R55</f>
        <v>Default 3</v>
      </c>
      <c r="V55" s="670"/>
      <c r="W55" s="670"/>
      <c r="X55" s="671"/>
      <c r="Y55" s="665">
        <f>Y75+1</f>
        <v>1</v>
      </c>
      <c r="Z55" s="662"/>
      <c r="AA55" s="663" t="s">
        <v>2180</v>
      </c>
      <c r="AB55" s="664">
        <f>AI$13-AI55+1</f>
        <v>3</v>
      </c>
      <c r="AC55" s="663" t="s">
        <v>2181</v>
      </c>
      <c r="AD55" s="614"/>
      <c r="AE55" s="669" t="str">
        <f>"Default " &amp; AB55</f>
        <v>Default 3</v>
      </c>
      <c r="AF55" s="670"/>
      <c r="AG55" s="670"/>
      <c r="AH55" s="671"/>
      <c r="AI55" s="665">
        <f>AI75+1</f>
        <v>1</v>
      </c>
      <c r="AT55" s="662"/>
      <c r="AU55" s="663" t="s">
        <v>2180</v>
      </c>
      <c r="AV55" s="664">
        <f>BC$13-BC55+1</f>
        <v>3</v>
      </c>
      <c r="AW55" s="663" t="s">
        <v>2181</v>
      </c>
      <c r="AX55" s="614"/>
      <c r="AY55" s="669" t="str">
        <f>"Default " &amp; AV55</f>
        <v>Default 3</v>
      </c>
      <c r="AZ55" s="670"/>
      <c r="BA55" s="670"/>
      <c r="BB55" s="671"/>
      <c r="BC55" s="665">
        <f>BC75+1</f>
        <v>2</v>
      </c>
    </row>
    <row r="56" spans="16:55" ht="17" thickBot="1" x14ac:dyDescent="0.25">
      <c r="P56" s="228"/>
      <c r="Q56" s="6" t="s">
        <v>719</v>
      </c>
      <c r="R56" s="674" t="s">
        <v>2190</v>
      </c>
      <c r="S56" s="667"/>
      <c r="T56" s="667"/>
      <c r="U56" s="667"/>
      <c r="V56" s="667"/>
      <c r="W56" s="667"/>
      <c r="X56" s="667"/>
      <c r="Y56" s="668"/>
      <c r="Z56" s="228"/>
      <c r="AA56" s="6" t="s">
        <v>719</v>
      </c>
      <c r="AB56" s="666"/>
      <c r="AC56" s="667"/>
      <c r="AD56" s="667"/>
      <c r="AE56" s="667"/>
      <c r="AF56" s="667"/>
      <c r="AG56" s="667"/>
      <c r="AH56" s="667"/>
      <c r="AI56" s="668"/>
      <c r="AT56" s="228"/>
      <c r="AU56" s="8" t="s">
        <v>719</v>
      </c>
      <c r="AV56" s="674"/>
      <c r="AW56" s="667"/>
      <c r="AX56" s="667"/>
      <c r="AY56" s="667"/>
      <c r="AZ56" s="667"/>
      <c r="BA56" s="667"/>
      <c r="BB56" s="667"/>
      <c r="BC56" s="668"/>
    </row>
    <row r="57" spans="16:55" ht="14" thickBot="1" x14ac:dyDescent="0.2">
      <c r="P57" s="228"/>
      <c r="Y57" s="229"/>
      <c r="Z57" s="228"/>
      <c r="AI57" s="229"/>
      <c r="AT57" s="228"/>
      <c r="BC57" s="229"/>
    </row>
    <row r="58" spans="16:55" ht="17" thickBot="1" x14ac:dyDescent="0.25">
      <c r="P58" s="228"/>
      <c r="Q58" s="6" t="s">
        <v>2003</v>
      </c>
      <c r="R58" s="641" t="s">
        <v>56</v>
      </c>
      <c r="S58" s="642" t="s">
        <v>57</v>
      </c>
      <c r="T58" s="642" t="s">
        <v>58</v>
      </c>
      <c r="U58" s="642" t="s">
        <v>59</v>
      </c>
      <c r="V58" s="642" t="s">
        <v>60</v>
      </c>
      <c r="W58" s="642" t="s">
        <v>61</v>
      </c>
      <c r="X58" s="643" t="s">
        <v>62</v>
      </c>
      <c r="Y58" s="229"/>
      <c r="Z58" s="228"/>
      <c r="AA58" s="6" t="s">
        <v>2003</v>
      </c>
      <c r="AB58" s="641" t="s">
        <v>56</v>
      </c>
      <c r="AC58" s="642" t="s">
        <v>57</v>
      </c>
      <c r="AD58" s="642" t="s">
        <v>58</v>
      </c>
      <c r="AE58" s="642" t="s">
        <v>59</v>
      </c>
      <c r="AF58" s="642" t="s">
        <v>60</v>
      </c>
      <c r="AG58" s="642" t="s">
        <v>61</v>
      </c>
      <c r="AH58" s="643" t="s">
        <v>62</v>
      </c>
      <c r="AI58" s="229"/>
      <c r="AT58" s="228"/>
      <c r="AU58" s="6" t="s">
        <v>2003</v>
      </c>
      <c r="AV58" s="641" t="s">
        <v>56</v>
      </c>
      <c r="AW58" s="642" t="s">
        <v>57</v>
      </c>
      <c r="AX58" s="642" t="s">
        <v>58</v>
      </c>
      <c r="AY58" s="642" t="s">
        <v>59</v>
      </c>
      <c r="AZ58" s="642" t="s">
        <v>60</v>
      </c>
      <c r="BA58" s="642" t="s">
        <v>61</v>
      </c>
      <c r="BB58" s="643" t="s">
        <v>62</v>
      </c>
      <c r="BC58" s="229"/>
    </row>
    <row r="59" spans="16:55" ht="34" x14ac:dyDescent="0.2">
      <c r="P59" s="228"/>
      <c r="Q59" s="204" t="s">
        <v>82</v>
      </c>
      <c r="R59" s="620">
        <v>12</v>
      </c>
      <c r="S59" s="621">
        <v>12</v>
      </c>
      <c r="T59" s="621">
        <v>12</v>
      </c>
      <c r="U59" s="621">
        <v>12</v>
      </c>
      <c r="V59" s="621">
        <v>12</v>
      </c>
      <c r="W59" s="621">
        <v>12</v>
      </c>
      <c r="X59" s="621">
        <v>12</v>
      </c>
      <c r="Y59" s="229"/>
      <c r="Z59" s="228"/>
      <c r="AA59" s="204" t="s">
        <v>82</v>
      </c>
      <c r="AB59" s="620">
        <v>40</v>
      </c>
      <c r="AC59" s="621">
        <v>40</v>
      </c>
      <c r="AD59" s="621">
        <v>40</v>
      </c>
      <c r="AE59" s="621">
        <v>40</v>
      </c>
      <c r="AF59" s="621">
        <v>40</v>
      </c>
      <c r="AG59" s="621">
        <v>40</v>
      </c>
      <c r="AH59" s="621">
        <v>40</v>
      </c>
      <c r="AI59" s="229"/>
      <c r="AT59" s="228"/>
      <c r="AU59" s="204" t="s">
        <v>82</v>
      </c>
      <c r="AV59" s="620">
        <v>40</v>
      </c>
      <c r="AW59" s="621">
        <v>40</v>
      </c>
      <c r="AX59" s="621">
        <v>40</v>
      </c>
      <c r="AY59" s="621">
        <v>40</v>
      </c>
      <c r="AZ59" s="621">
        <v>40</v>
      </c>
      <c r="BA59" s="621">
        <v>40</v>
      </c>
      <c r="BB59" s="622">
        <v>40</v>
      </c>
      <c r="BC59" s="229"/>
    </row>
    <row r="60" spans="16:55" ht="34" x14ac:dyDescent="0.2">
      <c r="P60" s="228"/>
      <c r="Q60" s="204" t="s">
        <v>83</v>
      </c>
      <c r="R60" s="623">
        <v>1</v>
      </c>
      <c r="S60" s="526">
        <v>1</v>
      </c>
      <c r="T60" s="526">
        <v>1</v>
      </c>
      <c r="U60" s="526">
        <v>1</v>
      </c>
      <c r="V60" s="526">
        <v>1</v>
      </c>
      <c r="W60" s="526">
        <v>1</v>
      </c>
      <c r="X60" s="526">
        <v>1</v>
      </c>
      <c r="Y60" s="229"/>
      <c r="Z60" s="228"/>
      <c r="AA60" s="204" t="s">
        <v>83</v>
      </c>
      <c r="AB60" s="623">
        <v>1</v>
      </c>
      <c r="AC60" s="526">
        <v>1</v>
      </c>
      <c r="AD60" s="526">
        <v>1</v>
      </c>
      <c r="AE60" s="526">
        <v>1</v>
      </c>
      <c r="AF60" s="526">
        <v>1</v>
      </c>
      <c r="AG60" s="526">
        <v>1</v>
      </c>
      <c r="AH60" s="526">
        <v>1</v>
      </c>
      <c r="AI60" s="229"/>
      <c r="AT60" s="228"/>
      <c r="AU60" s="204" t="s">
        <v>83</v>
      </c>
      <c r="AV60" s="623">
        <v>4</v>
      </c>
      <c r="AW60" s="526">
        <v>4</v>
      </c>
      <c r="AX60" s="526">
        <v>4</v>
      </c>
      <c r="AY60" s="526">
        <v>4</v>
      </c>
      <c r="AZ60" s="526">
        <v>4</v>
      </c>
      <c r="BA60" s="526">
        <v>4</v>
      </c>
      <c r="BB60" s="624">
        <v>4</v>
      </c>
      <c r="BC60" s="229"/>
    </row>
    <row r="61" spans="16:55" ht="34" x14ac:dyDescent="0.2">
      <c r="P61" s="228"/>
      <c r="Q61" s="204" t="s">
        <v>84</v>
      </c>
      <c r="R61" s="625">
        <v>1</v>
      </c>
      <c r="S61" s="618">
        <v>1</v>
      </c>
      <c r="T61" s="618">
        <v>1</v>
      </c>
      <c r="U61" s="618">
        <v>1</v>
      </c>
      <c r="V61" s="618">
        <v>1</v>
      </c>
      <c r="W61" s="618">
        <v>1</v>
      </c>
      <c r="X61" s="618">
        <v>1</v>
      </c>
      <c r="Y61" s="229"/>
      <c r="Z61" s="228"/>
      <c r="AA61" s="204" t="s">
        <v>84</v>
      </c>
      <c r="AB61" s="625">
        <v>1</v>
      </c>
      <c r="AC61" s="618">
        <v>1</v>
      </c>
      <c r="AD61" s="618">
        <v>1</v>
      </c>
      <c r="AE61" s="618">
        <v>1</v>
      </c>
      <c r="AF61" s="618">
        <v>1</v>
      </c>
      <c r="AG61" s="618">
        <v>1</v>
      </c>
      <c r="AH61" s="618">
        <v>1</v>
      </c>
      <c r="AI61" s="229"/>
      <c r="AT61" s="228"/>
      <c r="AU61" s="204" t="s">
        <v>84</v>
      </c>
      <c r="AV61" s="625">
        <v>5</v>
      </c>
      <c r="AW61" s="618">
        <v>5</v>
      </c>
      <c r="AX61" s="618">
        <v>5</v>
      </c>
      <c r="AY61" s="618">
        <v>5</v>
      </c>
      <c r="AZ61" s="618">
        <v>5</v>
      </c>
      <c r="BA61" s="618">
        <v>5</v>
      </c>
      <c r="BB61" s="626">
        <v>5</v>
      </c>
      <c r="BC61" s="229"/>
    </row>
    <row r="62" spans="16:55" ht="34" x14ac:dyDescent="0.2">
      <c r="P62" s="228"/>
      <c r="Q62" s="204" t="s">
        <v>85</v>
      </c>
      <c r="R62" s="625">
        <v>1</v>
      </c>
      <c r="S62" s="618">
        <v>1</v>
      </c>
      <c r="T62" s="618">
        <v>1</v>
      </c>
      <c r="U62" s="618">
        <v>1</v>
      </c>
      <c r="V62" s="618">
        <v>1</v>
      </c>
      <c r="W62" s="618">
        <v>1</v>
      </c>
      <c r="X62" s="618">
        <v>1</v>
      </c>
      <c r="Y62" s="229"/>
      <c r="Z62" s="228"/>
      <c r="AA62" s="204" t="s">
        <v>85</v>
      </c>
      <c r="AB62" s="625">
        <v>1</v>
      </c>
      <c r="AC62" s="618">
        <v>1</v>
      </c>
      <c r="AD62" s="618">
        <v>1</v>
      </c>
      <c r="AE62" s="618">
        <v>1</v>
      </c>
      <c r="AF62" s="618">
        <v>1</v>
      </c>
      <c r="AG62" s="618">
        <v>1</v>
      </c>
      <c r="AH62" s="618">
        <v>1</v>
      </c>
      <c r="AI62" s="229"/>
      <c r="AT62" s="228"/>
      <c r="AU62" s="204" t="s">
        <v>85</v>
      </c>
      <c r="AV62" s="625">
        <v>2</v>
      </c>
      <c r="AW62" s="618">
        <v>2</v>
      </c>
      <c r="AX62" s="618">
        <v>2</v>
      </c>
      <c r="AY62" s="618">
        <v>2</v>
      </c>
      <c r="AZ62" s="618">
        <v>2</v>
      </c>
      <c r="BA62" s="618">
        <v>2</v>
      </c>
      <c r="BB62" s="626">
        <v>2</v>
      </c>
      <c r="BC62" s="229"/>
    </row>
    <row r="63" spans="16:55" ht="35" thickBot="1" x14ac:dyDescent="0.25">
      <c r="P63" s="228"/>
      <c r="Q63" s="204" t="s">
        <v>86</v>
      </c>
      <c r="R63" s="627">
        <v>1</v>
      </c>
      <c r="S63" s="628">
        <v>1</v>
      </c>
      <c r="T63" s="628">
        <v>1</v>
      </c>
      <c r="U63" s="628">
        <v>1</v>
      </c>
      <c r="V63" s="628">
        <v>1</v>
      </c>
      <c r="W63" s="628">
        <v>1</v>
      </c>
      <c r="X63" s="628">
        <v>1</v>
      </c>
      <c r="Y63" s="229"/>
      <c r="Z63" s="228"/>
      <c r="AA63" s="204" t="s">
        <v>86</v>
      </c>
      <c r="AB63" s="627">
        <v>1</v>
      </c>
      <c r="AC63" s="628">
        <v>1</v>
      </c>
      <c r="AD63" s="628">
        <v>1</v>
      </c>
      <c r="AE63" s="628">
        <v>1</v>
      </c>
      <c r="AF63" s="628">
        <v>1</v>
      </c>
      <c r="AG63" s="628">
        <v>1</v>
      </c>
      <c r="AH63" s="628">
        <v>1</v>
      </c>
      <c r="AI63" s="229"/>
      <c r="AT63" s="228"/>
      <c r="AU63" s="204" t="s">
        <v>86</v>
      </c>
      <c r="AV63" s="627">
        <v>1</v>
      </c>
      <c r="AW63" s="628">
        <v>1</v>
      </c>
      <c r="AX63" s="628">
        <v>1</v>
      </c>
      <c r="AY63" s="628">
        <v>1</v>
      </c>
      <c r="AZ63" s="628">
        <v>1</v>
      </c>
      <c r="BA63" s="628">
        <v>1</v>
      </c>
      <c r="BB63" s="629">
        <v>1</v>
      </c>
      <c r="BC63" s="229"/>
    </row>
    <row r="64" spans="16:55" ht="17" thickBot="1" x14ac:dyDescent="0.25">
      <c r="P64" s="228"/>
      <c r="R64" s="6"/>
      <c r="S64" s="6"/>
      <c r="T64" s="6"/>
      <c r="U64" s="6"/>
      <c r="V64" s="6"/>
      <c r="W64" s="6"/>
      <c r="X64" s="6"/>
      <c r="Y64" s="229"/>
      <c r="Z64" s="228"/>
      <c r="AB64" s="6"/>
      <c r="AC64" s="6"/>
      <c r="AD64" s="6"/>
      <c r="AE64" s="6"/>
      <c r="AF64" s="6"/>
      <c r="AG64" s="6"/>
      <c r="AH64" s="6"/>
      <c r="AI64" s="229"/>
      <c r="AT64" s="228"/>
      <c r="AV64" s="6"/>
      <c r="AW64" s="6"/>
      <c r="AX64" s="6"/>
      <c r="AY64" s="6"/>
      <c r="AZ64" s="6"/>
      <c r="BA64" s="6"/>
      <c r="BB64" s="6"/>
      <c r="BC64" s="229"/>
    </row>
    <row r="65" spans="16:55" ht="17" x14ac:dyDescent="0.2">
      <c r="P65" s="228"/>
      <c r="Q65" s="204" t="s">
        <v>2187</v>
      </c>
      <c r="R65" s="630">
        <v>40</v>
      </c>
      <c r="S65" s="631">
        <v>35</v>
      </c>
      <c r="T65" s="631">
        <v>30</v>
      </c>
      <c r="U65" s="631">
        <v>25</v>
      </c>
      <c r="V65" s="631">
        <v>20</v>
      </c>
      <c r="W65" s="631">
        <v>15</v>
      </c>
      <c r="X65" s="632">
        <v>10</v>
      </c>
      <c r="Y65" s="229"/>
      <c r="Z65" s="228"/>
      <c r="AA65" s="204" t="s">
        <v>2187</v>
      </c>
      <c r="AB65" s="630">
        <v>50</v>
      </c>
      <c r="AC65" s="631">
        <v>75</v>
      </c>
      <c r="AD65" s="631">
        <v>100</v>
      </c>
      <c r="AE65" s="631">
        <v>125</v>
      </c>
      <c r="AF65" s="631">
        <v>150</v>
      </c>
      <c r="AG65" s="631">
        <v>175</v>
      </c>
      <c r="AH65" s="631">
        <v>200</v>
      </c>
      <c r="AI65" s="229"/>
      <c r="AT65" s="228"/>
      <c r="AU65" s="8" t="s">
        <v>2187</v>
      </c>
      <c r="AV65" s="630">
        <v>300</v>
      </c>
      <c r="AW65" s="631">
        <v>300</v>
      </c>
      <c r="AX65" s="631">
        <v>300</v>
      </c>
      <c r="AY65" s="631">
        <v>300</v>
      </c>
      <c r="AZ65" s="631">
        <v>300</v>
      </c>
      <c r="BA65" s="631">
        <v>300</v>
      </c>
      <c r="BB65" s="632">
        <v>300</v>
      </c>
      <c r="BC65" s="229"/>
    </row>
    <row r="66" spans="16:55" ht="17" x14ac:dyDescent="0.2">
      <c r="P66" s="228"/>
      <c r="Q66" s="204" t="s">
        <v>2188</v>
      </c>
      <c r="R66" s="240"/>
      <c r="S66" s="195"/>
      <c r="T66" s="195"/>
      <c r="U66" s="195"/>
      <c r="V66" s="195"/>
      <c r="W66" s="195"/>
      <c r="X66" s="633"/>
      <c r="Y66" s="229"/>
      <c r="Z66" s="228"/>
      <c r="AA66" s="204" t="s">
        <v>2188</v>
      </c>
      <c r="AB66" s="240"/>
      <c r="AC66" s="195"/>
      <c r="AD66" s="195"/>
      <c r="AE66" s="195"/>
      <c r="AF66" s="195"/>
      <c r="AG66" s="195"/>
      <c r="AH66" s="633"/>
      <c r="AI66" s="229"/>
      <c r="AT66" s="228"/>
      <c r="AU66" s="204" t="s">
        <v>2188</v>
      </c>
      <c r="AV66" s="240"/>
      <c r="AW66" s="195"/>
      <c r="AX66" s="195"/>
      <c r="AY66" s="195"/>
      <c r="AZ66" s="195"/>
      <c r="BA66" s="195"/>
      <c r="BB66" s="633"/>
      <c r="BC66" s="229"/>
    </row>
    <row r="67" spans="16:55" ht="18" thickBot="1" x14ac:dyDescent="0.25">
      <c r="P67" s="228"/>
      <c r="Q67" s="204" t="s">
        <v>2189</v>
      </c>
      <c r="R67" s="634">
        <v>1</v>
      </c>
      <c r="S67" s="635">
        <v>1</v>
      </c>
      <c r="T67" s="635">
        <v>1</v>
      </c>
      <c r="U67" s="635">
        <v>1</v>
      </c>
      <c r="V67" s="635">
        <v>1</v>
      </c>
      <c r="W67" s="635">
        <v>1</v>
      </c>
      <c r="X67" s="636">
        <v>1</v>
      </c>
      <c r="Y67" s="229"/>
      <c r="Z67" s="228"/>
      <c r="AA67" s="204" t="s">
        <v>2189</v>
      </c>
      <c r="AB67" s="634">
        <v>5</v>
      </c>
      <c r="AC67" s="635">
        <v>5</v>
      </c>
      <c r="AD67" s="635">
        <v>5</v>
      </c>
      <c r="AE67" s="635">
        <v>5</v>
      </c>
      <c r="AF67" s="635">
        <v>5</v>
      </c>
      <c r="AG67" s="635">
        <v>5</v>
      </c>
      <c r="AH67" s="636">
        <v>5</v>
      </c>
      <c r="AI67" s="229"/>
      <c r="AT67" s="228"/>
      <c r="AU67" s="204" t="s">
        <v>2189</v>
      </c>
      <c r="AV67" s="634">
        <v>100</v>
      </c>
      <c r="AW67" s="635">
        <v>100</v>
      </c>
      <c r="AX67" s="635">
        <v>100</v>
      </c>
      <c r="AY67" s="635">
        <v>100</v>
      </c>
      <c r="AZ67" s="635">
        <v>100</v>
      </c>
      <c r="BA67" s="635">
        <v>100</v>
      </c>
      <c r="BB67" s="636">
        <v>100</v>
      </c>
      <c r="BC67" s="229"/>
    </row>
    <row r="68" spans="16:55" ht="17" thickBot="1" x14ac:dyDescent="0.25">
      <c r="P68" s="228"/>
      <c r="R68" s="6"/>
      <c r="S68" s="6"/>
      <c r="T68" s="6"/>
      <c r="U68" s="6"/>
      <c r="V68" s="6"/>
      <c r="W68" s="6"/>
      <c r="X68" s="6"/>
      <c r="Y68" s="229"/>
      <c r="Z68" s="228"/>
      <c r="AB68" s="6"/>
      <c r="AC68" s="6"/>
      <c r="AD68" s="6"/>
      <c r="AE68" s="6"/>
      <c r="AF68" s="6"/>
      <c r="AG68" s="6"/>
      <c r="AH68" s="6"/>
      <c r="AI68" s="229"/>
      <c r="AT68" s="228"/>
      <c r="AV68" s="6"/>
      <c r="AW68" s="6"/>
      <c r="AX68" s="6"/>
      <c r="AY68" s="6"/>
      <c r="AZ68" s="6"/>
      <c r="BA68" s="6"/>
      <c r="BB68" s="6"/>
      <c r="BC68" s="229"/>
    </row>
    <row r="69" spans="16:55" ht="35" thickBot="1" x14ac:dyDescent="0.2">
      <c r="P69" s="228"/>
      <c r="Q69" s="204" t="s">
        <v>99</v>
      </c>
      <c r="R69" s="637">
        <v>500000</v>
      </c>
      <c r="S69" s="638">
        <v>500000</v>
      </c>
      <c r="T69" s="638">
        <v>500000</v>
      </c>
      <c r="U69" s="638">
        <v>500000</v>
      </c>
      <c r="V69" s="638">
        <v>500000</v>
      </c>
      <c r="W69" s="638">
        <v>500000</v>
      </c>
      <c r="X69" s="639">
        <v>500000</v>
      </c>
      <c r="Y69" s="229"/>
      <c r="Z69" s="228"/>
      <c r="AA69" s="204" t="s">
        <v>99</v>
      </c>
      <c r="AB69" s="637">
        <v>500000</v>
      </c>
      <c r="AC69" s="638">
        <v>500000</v>
      </c>
      <c r="AD69" s="638">
        <v>500000</v>
      </c>
      <c r="AE69" s="638">
        <v>500000</v>
      </c>
      <c r="AF69" s="638">
        <v>500000</v>
      </c>
      <c r="AG69" s="638">
        <v>500000</v>
      </c>
      <c r="AH69" s="639">
        <v>500000</v>
      </c>
      <c r="AI69" s="229"/>
      <c r="AT69" s="228"/>
      <c r="AU69" s="204" t="s">
        <v>99</v>
      </c>
      <c r="AV69" s="637">
        <v>500000</v>
      </c>
      <c r="AW69" s="638">
        <v>500000</v>
      </c>
      <c r="AX69" s="638">
        <v>500000</v>
      </c>
      <c r="AY69" s="638">
        <v>500000</v>
      </c>
      <c r="AZ69" s="638">
        <v>500000</v>
      </c>
      <c r="BA69" s="638">
        <v>500000</v>
      </c>
      <c r="BB69" s="639">
        <v>500000</v>
      </c>
      <c r="BC69" s="229"/>
    </row>
    <row r="70" spans="16:55" x14ac:dyDescent="0.15">
      <c r="P70" s="228"/>
      <c r="Y70" s="229"/>
      <c r="Z70" s="228"/>
      <c r="AI70" s="229"/>
      <c r="AT70" s="228"/>
      <c r="BC70" s="229"/>
    </row>
    <row r="71" spans="16:55" x14ac:dyDescent="0.15">
      <c r="P71" s="228"/>
      <c r="Y71" s="229"/>
      <c r="Z71" s="228"/>
      <c r="AI71" s="229"/>
      <c r="AT71" s="228"/>
      <c r="BC71" s="229"/>
    </row>
    <row r="72" spans="16:55" x14ac:dyDescent="0.15">
      <c r="P72" s="228"/>
      <c r="Y72" s="229"/>
      <c r="Z72" s="228"/>
      <c r="AI72" s="229"/>
      <c r="AT72" s="228"/>
      <c r="BC72" s="229"/>
    </row>
    <row r="73" spans="16:55" x14ac:dyDescent="0.15">
      <c r="P73" s="228"/>
      <c r="Y73" s="229"/>
      <c r="Z73" s="228"/>
      <c r="AI73" s="229"/>
      <c r="AT73" s="228"/>
      <c r="BC73" s="229"/>
    </row>
    <row r="74" spans="16:55" ht="14" thickBot="1" x14ac:dyDescent="0.2">
      <c r="P74" s="241"/>
      <c r="Q74" s="40"/>
      <c r="R74" s="40"/>
      <c r="S74" s="40"/>
      <c r="T74" s="40"/>
      <c r="U74" s="40"/>
      <c r="V74" s="40"/>
      <c r="W74" s="40"/>
      <c r="X74" s="40"/>
      <c r="Y74" s="242"/>
      <c r="Z74" s="241"/>
      <c r="AA74" s="40"/>
      <c r="AB74" s="40"/>
      <c r="AC74" s="40"/>
      <c r="AD74" s="40"/>
      <c r="AE74" s="40"/>
      <c r="AF74" s="40"/>
      <c r="AG74" s="40"/>
      <c r="AH74" s="40"/>
      <c r="AI74" s="242"/>
      <c r="AT74" s="241"/>
      <c r="AU74" s="40"/>
      <c r="AV74" s="40"/>
      <c r="AW74" s="40"/>
      <c r="AX74" s="40"/>
      <c r="AY74" s="40"/>
      <c r="AZ74" s="40"/>
      <c r="BA74" s="40"/>
      <c r="BB74" s="40"/>
      <c r="BC74" s="242"/>
    </row>
    <row r="75" spans="16:55" ht="19" thickBot="1" x14ac:dyDescent="0.25">
      <c r="AT75" s="662"/>
      <c r="AU75" s="663" t="s">
        <v>2180</v>
      </c>
      <c r="AV75" s="664">
        <f>BC$13-BC75+1</f>
        <v>4</v>
      </c>
      <c r="AW75" s="663" t="s">
        <v>2181</v>
      </c>
      <c r="AX75" s="614"/>
      <c r="AY75" s="669" t="str">
        <f>"Default " &amp; AV75</f>
        <v>Default 4</v>
      </c>
      <c r="AZ75" s="670"/>
      <c r="BA75" s="670"/>
      <c r="BB75" s="671"/>
      <c r="BC75" s="665">
        <f>BC95+1</f>
        <v>1</v>
      </c>
    </row>
    <row r="76" spans="16:55" ht="14" thickBot="1" x14ac:dyDescent="0.2">
      <c r="AT76" s="228"/>
      <c r="AU76" s="8" t="s">
        <v>719</v>
      </c>
      <c r="AV76" s="674"/>
      <c r="AW76" s="667"/>
      <c r="AX76" s="667"/>
      <c r="AY76" s="667"/>
      <c r="AZ76" s="667"/>
      <c r="BA76" s="667"/>
      <c r="BB76" s="667"/>
      <c r="BC76" s="668"/>
    </row>
    <row r="77" spans="16:55" ht="14" thickBot="1" x14ac:dyDescent="0.2">
      <c r="AT77" s="228"/>
      <c r="BC77" s="229"/>
    </row>
    <row r="78" spans="16:55" ht="17" thickBot="1" x14ac:dyDescent="0.25">
      <c r="AT78" s="228"/>
      <c r="AU78" s="6" t="s">
        <v>2003</v>
      </c>
      <c r="AV78" s="641" t="s">
        <v>56</v>
      </c>
      <c r="AW78" s="642" t="s">
        <v>57</v>
      </c>
      <c r="AX78" s="642" t="s">
        <v>58</v>
      </c>
      <c r="AY78" s="642" t="s">
        <v>59</v>
      </c>
      <c r="AZ78" s="642" t="s">
        <v>60</v>
      </c>
      <c r="BA78" s="642" t="s">
        <v>61</v>
      </c>
      <c r="BB78" s="643" t="s">
        <v>62</v>
      </c>
      <c r="BC78" s="229"/>
    </row>
    <row r="79" spans="16:55" ht="34" x14ac:dyDescent="0.2">
      <c r="AT79" s="228"/>
      <c r="AU79" s="204" t="s">
        <v>82</v>
      </c>
      <c r="AV79" s="620">
        <v>30</v>
      </c>
      <c r="AW79" s="621">
        <v>30</v>
      </c>
      <c r="AX79" s="621">
        <v>30</v>
      </c>
      <c r="AY79" s="621">
        <v>30</v>
      </c>
      <c r="AZ79" s="621">
        <v>30</v>
      </c>
      <c r="BA79" s="621">
        <v>30</v>
      </c>
      <c r="BB79" s="622">
        <v>30</v>
      </c>
      <c r="BC79" s="229"/>
    </row>
    <row r="80" spans="16:55" ht="34" x14ac:dyDescent="0.2">
      <c r="AT80" s="228"/>
      <c r="AU80" s="204" t="s">
        <v>83</v>
      </c>
      <c r="AV80" s="623">
        <v>3</v>
      </c>
      <c r="AW80" s="526">
        <v>3</v>
      </c>
      <c r="AX80" s="526">
        <v>3</v>
      </c>
      <c r="AY80" s="526">
        <v>3</v>
      </c>
      <c r="AZ80" s="526">
        <v>3</v>
      </c>
      <c r="BA80" s="526">
        <v>3</v>
      </c>
      <c r="BB80" s="624">
        <v>3</v>
      </c>
      <c r="BC80" s="229"/>
    </row>
    <row r="81" spans="46:55" ht="34" x14ac:dyDescent="0.2">
      <c r="AT81" s="228"/>
      <c r="AU81" s="204" t="s">
        <v>84</v>
      </c>
      <c r="AV81" s="625">
        <v>5</v>
      </c>
      <c r="AW81" s="618">
        <v>5</v>
      </c>
      <c r="AX81" s="618">
        <v>5</v>
      </c>
      <c r="AY81" s="618">
        <v>5</v>
      </c>
      <c r="AZ81" s="618">
        <v>5</v>
      </c>
      <c r="BA81" s="618">
        <v>5</v>
      </c>
      <c r="BB81" s="626">
        <v>5</v>
      </c>
      <c r="BC81" s="229"/>
    </row>
    <row r="82" spans="46:55" ht="34" x14ac:dyDescent="0.2">
      <c r="AT82" s="228"/>
      <c r="AU82" s="204" t="s">
        <v>85</v>
      </c>
      <c r="AV82" s="625">
        <v>2</v>
      </c>
      <c r="AW82" s="618">
        <v>2</v>
      </c>
      <c r="AX82" s="618">
        <v>2</v>
      </c>
      <c r="AY82" s="618">
        <v>2</v>
      </c>
      <c r="AZ82" s="618">
        <v>2</v>
      </c>
      <c r="BA82" s="618">
        <v>2</v>
      </c>
      <c r="BB82" s="626">
        <v>2</v>
      </c>
      <c r="BC82" s="229"/>
    </row>
    <row r="83" spans="46:55" ht="35" thickBot="1" x14ac:dyDescent="0.25">
      <c r="AT83" s="228"/>
      <c r="AU83" s="204" t="s">
        <v>86</v>
      </c>
      <c r="AV83" s="627">
        <v>1</v>
      </c>
      <c r="AW83" s="628">
        <v>1</v>
      </c>
      <c r="AX83" s="628">
        <v>1</v>
      </c>
      <c r="AY83" s="628">
        <v>1</v>
      </c>
      <c r="AZ83" s="628">
        <v>1</v>
      </c>
      <c r="BA83" s="628">
        <v>1</v>
      </c>
      <c r="BB83" s="629">
        <v>1</v>
      </c>
      <c r="BC83" s="229"/>
    </row>
    <row r="84" spans="46:55" ht="17" thickBot="1" x14ac:dyDescent="0.25">
      <c r="AT84" s="228"/>
      <c r="AV84" s="6"/>
      <c r="AW84" s="6"/>
      <c r="AX84" s="6"/>
      <c r="AY84" s="6"/>
      <c r="AZ84" s="6"/>
      <c r="BA84" s="6"/>
      <c r="BB84" s="6"/>
      <c r="BC84" s="229"/>
    </row>
    <row r="85" spans="46:55" ht="16" x14ac:dyDescent="0.2">
      <c r="AT85" s="228"/>
      <c r="AU85" s="8" t="s">
        <v>2187</v>
      </c>
      <c r="AV85" s="630">
        <v>300</v>
      </c>
      <c r="AW85" s="631">
        <v>300</v>
      </c>
      <c r="AX85" s="631">
        <v>300</v>
      </c>
      <c r="AY85" s="631">
        <v>300</v>
      </c>
      <c r="AZ85" s="631">
        <v>300</v>
      </c>
      <c r="BA85" s="631">
        <v>300</v>
      </c>
      <c r="BB85" s="632">
        <v>300</v>
      </c>
      <c r="BC85" s="229"/>
    </row>
    <row r="86" spans="46:55" ht="17" x14ac:dyDescent="0.2">
      <c r="AT86" s="228"/>
      <c r="AU86" s="204" t="s">
        <v>2188</v>
      </c>
      <c r="AV86" s="240"/>
      <c r="AW86" s="195"/>
      <c r="AX86" s="195"/>
      <c r="AY86" s="195"/>
      <c r="AZ86" s="195"/>
      <c r="BA86" s="195"/>
      <c r="BB86" s="633"/>
      <c r="BC86" s="229"/>
    </row>
    <row r="87" spans="46:55" ht="18" thickBot="1" x14ac:dyDescent="0.25">
      <c r="AT87" s="228"/>
      <c r="AU87" s="204" t="s">
        <v>2189</v>
      </c>
      <c r="AV87" s="634">
        <v>75</v>
      </c>
      <c r="AW87" s="635">
        <v>75</v>
      </c>
      <c r="AX87" s="635">
        <v>75</v>
      </c>
      <c r="AY87" s="635">
        <v>75</v>
      </c>
      <c r="AZ87" s="635">
        <v>75</v>
      </c>
      <c r="BA87" s="635">
        <v>75</v>
      </c>
      <c r="BB87" s="636">
        <v>75</v>
      </c>
      <c r="BC87" s="229"/>
    </row>
    <row r="88" spans="46:55" ht="17" thickBot="1" x14ac:dyDescent="0.25">
      <c r="AT88" s="228"/>
      <c r="AV88" s="6"/>
      <c r="AW88" s="6"/>
      <c r="AX88" s="6"/>
      <c r="AY88" s="6"/>
      <c r="AZ88" s="6"/>
      <c r="BA88" s="6"/>
      <c r="BB88" s="6"/>
      <c r="BC88" s="229"/>
    </row>
    <row r="89" spans="46:55" ht="35" thickBot="1" x14ac:dyDescent="0.2">
      <c r="AT89" s="228"/>
      <c r="AU89" s="204" t="s">
        <v>99</v>
      </c>
      <c r="AV89" s="637">
        <v>500000</v>
      </c>
      <c r="AW89" s="638">
        <v>500000</v>
      </c>
      <c r="AX89" s="638">
        <v>500000</v>
      </c>
      <c r="AY89" s="638">
        <v>500000</v>
      </c>
      <c r="AZ89" s="638">
        <v>500000</v>
      </c>
      <c r="BA89" s="638">
        <v>500000</v>
      </c>
      <c r="BB89" s="639">
        <v>500000</v>
      </c>
      <c r="BC89" s="229"/>
    </row>
    <row r="90" spans="46:55" x14ac:dyDescent="0.15">
      <c r="AT90" s="228"/>
      <c r="BC90" s="229"/>
    </row>
    <row r="91" spans="46:55" x14ac:dyDescent="0.15">
      <c r="AT91" s="228"/>
      <c r="BC91" s="229"/>
    </row>
    <row r="92" spans="46:55" x14ac:dyDescent="0.15">
      <c r="AT92" s="228"/>
      <c r="BC92" s="229"/>
    </row>
    <row r="93" spans="46:55" x14ac:dyDescent="0.15">
      <c r="AT93" s="228"/>
      <c r="BC93" s="229"/>
    </row>
    <row r="94" spans="46:55" ht="14" thickBot="1" x14ac:dyDescent="0.2">
      <c r="AT94" s="241"/>
      <c r="AU94" s="40"/>
      <c r="AV94" s="40"/>
      <c r="AW94" s="40"/>
      <c r="AX94" s="40"/>
      <c r="AY94" s="40"/>
      <c r="AZ94" s="40"/>
      <c r="BA94" s="40"/>
      <c r="BB94" s="40"/>
      <c r="BC94" s="242"/>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9"/>
  <sheetViews>
    <sheetView workbookViewId="0">
      <pane ySplit="6" topLeftCell="A7" activePane="bottomLeft" state="frozen"/>
      <selection pane="bottomLeft" activeCell="A7" sqref="A7"/>
    </sheetView>
  </sheetViews>
  <sheetFormatPr baseColWidth="10" defaultColWidth="8.83203125" defaultRowHeight="13" x14ac:dyDescent="0.15"/>
  <cols>
    <col min="1" max="1" width="55.5" bestFit="1" customWidth="1"/>
    <col min="2" max="2" width="20.5" bestFit="1" customWidth="1"/>
    <col min="3" max="3" width="10.83203125" bestFit="1" customWidth="1"/>
    <col min="4" max="4" width="10.5" bestFit="1" customWidth="1"/>
    <col min="5" max="5" width="7.83203125" bestFit="1" customWidth="1"/>
    <col min="6" max="6" width="6.83203125" bestFit="1" customWidth="1"/>
    <col min="7" max="7" width="3.5" customWidth="1"/>
    <col min="8" max="8" width="5.5" customWidth="1"/>
    <col min="9" max="9" width="4" customWidth="1"/>
    <col min="10" max="10" width="4.5" customWidth="1"/>
    <col min="11" max="13" width="5.5" customWidth="1"/>
    <col min="14" max="14" width="4.5" customWidth="1"/>
    <col min="15" max="16" width="17.5" bestFit="1" customWidth="1"/>
    <col min="19" max="19" width="50.5" customWidth="1"/>
    <col min="20" max="20" width="20.5" customWidth="1"/>
    <col min="21" max="21" width="17.5" customWidth="1"/>
    <col min="22" max="22" width="16.5" customWidth="1"/>
    <col min="23" max="23" width="17.5" customWidth="1"/>
    <col min="24" max="24" width="16.5" customWidth="1"/>
    <col min="25" max="25" width="16" customWidth="1"/>
    <col min="26" max="26" width="18.5" customWidth="1"/>
    <col min="34" max="34" width="35.5" customWidth="1"/>
    <col min="35" max="35" width="11.5" customWidth="1"/>
    <col min="44" max="44" width="31.5" customWidth="1"/>
    <col min="54" max="54" width="32.5" customWidth="1"/>
    <col min="64" max="64" width="34.5" customWidth="1"/>
    <col min="74" max="74" width="37.5" customWidth="1"/>
  </cols>
  <sheetData>
    <row r="1" spans="1:25" ht="19" thickBot="1" x14ac:dyDescent="0.25">
      <c r="A1" s="1346" t="s">
        <v>2191</v>
      </c>
      <c r="B1" s="1346"/>
      <c r="C1" s="1346"/>
      <c r="D1" s="1346"/>
      <c r="E1" s="1346"/>
      <c r="F1" s="1346"/>
      <c r="G1" s="1346"/>
      <c r="H1" s="1346"/>
      <c r="I1" s="1346"/>
      <c r="J1" s="1346"/>
      <c r="K1" s="1346"/>
      <c r="L1" s="1346"/>
      <c r="M1" s="1346"/>
      <c r="N1" s="1357"/>
      <c r="O1" s="1260" t="s">
        <v>9</v>
      </c>
      <c r="P1" s="1261"/>
    </row>
    <row r="2" spans="1:25" ht="17" thickBot="1" x14ac:dyDescent="0.25">
      <c r="A2" s="1270"/>
      <c r="B2" s="1270"/>
      <c r="C2" s="1270"/>
      <c r="D2" s="1270"/>
      <c r="E2" s="1270"/>
      <c r="F2" s="1270"/>
      <c r="G2" s="1270"/>
      <c r="H2" s="1270"/>
      <c r="I2" s="1270"/>
      <c r="J2" s="1270"/>
      <c r="K2" s="1270"/>
      <c r="L2" s="1270"/>
      <c r="M2" s="1270"/>
      <c r="N2" s="1367"/>
      <c r="O2" s="987" t="s">
        <v>8</v>
      </c>
      <c r="P2" s="988" t="s">
        <v>10</v>
      </c>
    </row>
    <row r="3" spans="1:25" ht="16" x14ac:dyDescent="0.2">
      <c r="A3" s="1291" t="s">
        <v>2192</v>
      </c>
      <c r="B3" s="1291"/>
      <c r="C3" s="1291"/>
      <c r="D3" s="1291"/>
      <c r="E3" s="1291"/>
      <c r="F3" s="1291"/>
      <c r="G3" s="1291"/>
      <c r="H3" s="1291"/>
      <c r="I3" s="1291"/>
      <c r="J3" s="1291"/>
      <c r="K3" s="1291"/>
      <c r="L3" s="1291"/>
      <c r="M3" s="1291"/>
      <c r="N3" s="1292"/>
      <c r="O3" s="989" t="s">
        <v>15</v>
      </c>
      <c r="P3" s="988" t="s">
        <v>16</v>
      </c>
    </row>
    <row r="4" spans="1:25" x14ac:dyDescent="0.15">
      <c r="A4" s="1293" t="s">
        <v>298</v>
      </c>
      <c r="B4" s="1293"/>
      <c r="C4" s="1293"/>
      <c r="D4" s="1293"/>
      <c r="E4" s="1368" t="s">
        <v>12</v>
      </c>
      <c r="F4" s="1369"/>
      <c r="G4" s="1369"/>
      <c r="H4" s="1369"/>
      <c r="I4" s="1369"/>
      <c r="J4" s="1369"/>
      <c r="K4" s="1369"/>
      <c r="L4" s="1369"/>
      <c r="M4" s="1369"/>
      <c r="N4" s="1370"/>
      <c r="O4" s="986" t="s">
        <v>17</v>
      </c>
      <c r="P4" s="988" t="s">
        <v>18</v>
      </c>
    </row>
    <row r="5" spans="1:25" ht="14" thickBot="1" x14ac:dyDescent="0.2">
      <c r="A5" s="1296" t="s">
        <v>13</v>
      </c>
      <c r="B5" s="1296"/>
      <c r="C5" s="1296"/>
      <c r="D5" s="1296"/>
      <c r="E5" s="1371" t="s">
        <v>14</v>
      </c>
      <c r="F5" s="1372"/>
      <c r="G5" s="1372"/>
      <c r="H5" s="1372"/>
      <c r="I5" s="1372"/>
      <c r="J5" s="1372"/>
      <c r="K5" s="1372"/>
      <c r="L5" s="1372"/>
      <c r="M5" s="1372"/>
      <c r="N5" s="1373"/>
      <c r="O5" s="986" t="s">
        <v>20</v>
      </c>
      <c r="P5" s="992" t="s">
        <v>21</v>
      </c>
    </row>
    <row r="6" spans="1:25" ht="14" thickBot="1" x14ac:dyDescent="0.2">
      <c r="O6" s="990" t="s">
        <v>25</v>
      </c>
      <c r="P6" s="991" t="s">
        <v>26</v>
      </c>
    </row>
    <row r="7" spans="1:25" ht="16" x14ac:dyDescent="0.2">
      <c r="A7" s="5"/>
      <c r="B7" s="123" t="s">
        <v>2193</v>
      </c>
      <c r="C7" s="1366" t="s">
        <v>2194</v>
      </c>
      <c r="D7" s="1366"/>
      <c r="E7" s="1366"/>
      <c r="F7" s="1366"/>
      <c r="G7" s="1366"/>
      <c r="H7" s="1366"/>
      <c r="I7" s="1366"/>
      <c r="J7" s="1366"/>
      <c r="K7" s="1366"/>
      <c r="L7" s="1366"/>
      <c r="M7" s="1366"/>
      <c r="N7" s="1366"/>
      <c r="O7" s="1366"/>
      <c r="Y7">
        <v>1</v>
      </c>
    </row>
    <row r="8" spans="1:25" ht="16" x14ac:dyDescent="0.2">
      <c r="A8" s="5" t="s">
        <v>2195</v>
      </c>
      <c r="B8" s="123" t="str" cm="1">
        <f t="array" aca="1" ref="B8" ca="1">INDEX(_vehicles, B9)</f>
        <v>EV</v>
      </c>
      <c r="C8" s="123" t="s">
        <v>2196</v>
      </c>
      <c r="D8" s="123" t="s">
        <v>2197</v>
      </c>
      <c r="E8" s="123" t="s">
        <v>2198</v>
      </c>
      <c r="F8" s="123" t="s">
        <v>48</v>
      </c>
      <c r="G8" s="428"/>
      <c r="H8" s="428"/>
      <c r="I8" s="429"/>
      <c r="J8" s="429"/>
      <c r="K8" s="429"/>
      <c r="L8" s="429"/>
      <c r="M8" s="429"/>
      <c r="N8" s="429"/>
      <c r="O8" s="429"/>
    </row>
    <row r="9" spans="1:25" ht="15" customHeight="1" x14ac:dyDescent="0.15">
      <c r="A9" s="225" t="s">
        <v>2199</v>
      </c>
      <c r="B9" s="173">
        <f>MATCH(Dashboard!$D$34, C8:DD8, 0)</f>
        <v>4</v>
      </c>
      <c r="C9" s="46">
        <v>1</v>
      </c>
      <c r="D9" s="46">
        <f>C9+1</f>
        <v>2</v>
      </c>
      <c r="E9" s="46">
        <f>D9+1</f>
        <v>3</v>
      </c>
      <c r="F9" s="46">
        <f>E9+1</f>
        <v>4</v>
      </c>
      <c r="G9" s="430"/>
      <c r="H9" s="430"/>
      <c r="I9" s="429"/>
      <c r="J9" s="429"/>
      <c r="K9" s="429"/>
      <c r="L9" s="429"/>
      <c r="M9" s="429"/>
      <c r="N9" s="429"/>
      <c r="O9" s="429"/>
    </row>
    <row r="10" spans="1:25" ht="15" customHeight="1" x14ac:dyDescent="0.15">
      <c r="A10" s="225"/>
      <c r="B10" s="46"/>
      <c r="C10" s="46"/>
      <c r="D10" s="46"/>
      <c r="E10" s="46"/>
      <c r="F10" s="46"/>
      <c r="G10" s="430"/>
      <c r="H10" s="430"/>
      <c r="I10" s="429"/>
      <c r="J10" s="429"/>
      <c r="K10" s="429"/>
      <c r="L10" s="429"/>
      <c r="M10" s="429"/>
      <c r="N10" s="429"/>
      <c r="O10" s="429"/>
    </row>
    <row r="11" spans="1:25" x14ac:dyDescent="0.15">
      <c r="A11" s="26" t="s">
        <v>2200</v>
      </c>
      <c r="B11" s="46"/>
      <c r="C11" s="46"/>
      <c r="D11" s="46"/>
      <c r="E11" s="46"/>
      <c r="F11" s="46"/>
      <c r="G11" s="432" t="s">
        <v>2201</v>
      </c>
      <c r="H11" s="430"/>
      <c r="I11" s="429"/>
      <c r="J11" s="429"/>
      <c r="K11" s="429"/>
      <c r="L11" s="429"/>
      <c r="M11" s="429"/>
      <c r="N11" s="429"/>
      <c r="O11" s="429"/>
    </row>
    <row r="12" spans="1:25" x14ac:dyDescent="0.15">
      <c r="A12" s="8" t="s">
        <v>2202</v>
      </c>
      <c r="B12" s="173" cm="1">
        <f t="array" ref="B12">INDEX(12:12, $B$9+2)</f>
        <v>20</v>
      </c>
      <c r="C12" s="46">
        <v>10</v>
      </c>
      <c r="D12" s="46">
        <v>12</v>
      </c>
      <c r="E12" s="46">
        <v>16</v>
      </c>
      <c r="F12" s="46">
        <v>20</v>
      </c>
      <c r="G12" s="430"/>
      <c r="H12" s="430"/>
      <c r="I12" s="429"/>
      <c r="J12" s="429"/>
      <c r="K12" s="429"/>
      <c r="L12" s="429"/>
      <c r="M12" s="429"/>
      <c r="N12" s="429"/>
      <c r="O12" s="429"/>
    </row>
    <row r="13" spans="1:25" x14ac:dyDescent="0.15">
      <c r="A13" s="8" t="s">
        <v>2203</v>
      </c>
      <c r="B13" s="173" cm="1">
        <f t="array" ref="B13">INDEX(13:13, $B$9+2)</f>
        <v>2</v>
      </c>
      <c r="C13" s="46">
        <v>3</v>
      </c>
      <c r="D13" s="46">
        <v>3</v>
      </c>
      <c r="E13" s="46">
        <v>3</v>
      </c>
      <c r="F13" s="46">
        <v>2</v>
      </c>
      <c r="G13" s="430"/>
      <c r="H13" s="430"/>
      <c r="I13" s="429"/>
      <c r="J13" s="429"/>
      <c r="K13" s="429"/>
      <c r="L13" s="429"/>
      <c r="M13" s="429"/>
      <c r="N13" s="429"/>
      <c r="O13" s="429"/>
    </row>
    <row r="14" spans="1:25" x14ac:dyDescent="0.15">
      <c r="A14" s="8" t="s">
        <v>2204</v>
      </c>
      <c r="B14" s="173" cm="1">
        <f t="array" ref="B14">INDEX(14:14, $B$9+2)</f>
        <v>1</v>
      </c>
      <c r="C14" s="46">
        <v>0</v>
      </c>
      <c r="D14" s="46">
        <v>0</v>
      </c>
      <c r="E14" s="46">
        <v>0</v>
      </c>
      <c r="F14" s="46">
        <v>1</v>
      </c>
      <c r="G14" s="430"/>
      <c r="H14" s="430"/>
      <c r="I14" s="429"/>
      <c r="J14" s="429"/>
      <c r="K14" s="429"/>
      <c r="L14" s="429"/>
      <c r="M14" s="429"/>
      <c r="N14" s="429"/>
      <c r="O14" s="429"/>
    </row>
    <row r="15" spans="1:25" x14ac:dyDescent="0.15">
      <c r="A15" s="8" t="s">
        <v>2205</v>
      </c>
      <c r="B15" s="173" cm="1">
        <f t="array" ref="B15">INDEX(15:15, $B$9+2)</f>
        <v>10</v>
      </c>
      <c r="C15" s="46">
        <v>2</v>
      </c>
      <c r="D15" s="46">
        <v>10</v>
      </c>
      <c r="E15" s="46">
        <v>10</v>
      </c>
      <c r="F15" s="46">
        <v>10</v>
      </c>
      <c r="G15" s="430"/>
      <c r="H15" s="430"/>
      <c r="I15" s="429"/>
      <c r="J15" s="429"/>
      <c r="K15" s="429"/>
      <c r="L15" s="429"/>
      <c r="M15" s="429"/>
      <c r="N15" s="429"/>
      <c r="O15" s="429"/>
    </row>
    <row r="16" spans="1:25" x14ac:dyDescent="0.15">
      <c r="A16" s="8" t="s">
        <v>2206</v>
      </c>
      <c r="B16" s="173" cm="1">
        <f t="array" ref="B16">INDEX(16:16, $B$9+2)</f>
        <v>20</v>
      </c>
      <c r="C16" s="46">
        <v>80</v>
      </c>
      <c r="D16" s="46">
        <v>50</v>
      </c>
      <c r="E16" s="46">
        <v>80</v>
      </c>
      <c r="F16" s="46">
        <v>20</v>
      </c>
      <c r="G16" s="429"/>
      <c r="H16" s="429"/>
      <c r="I16" s="429"/>
      <c r="J16" s="429"/>
      <c r="K16" s="429"/>
      <c r="L16" s="429"/>
      <c r="M16" s="429"/>
      <c r="N16" s="429"/>
      <c r="O16" s="429"/>
    </row>
    <row r="17" spans="1:16" x14ac:dyDescent="0.15">
      <c r="A17" s="8" t="s">
        <v>2207</v>
      </c>
      <c r="B17" s="173" cm="1">
        <f t="array" ref="B17">INDEX(17:17, $B$9+2)</f>
        <v>50</v>
      </c>
      <c r="C17" s="46">
        <v>80</v>
      </c>
      <c r="D17" s="46">
        <v>80</v>
      </c>
      <c r="E17" s="46">
        <v>50</v>
      </c>
      <c r="F17" s="46">
        <v>50</v>
      </c>
      <c r="G17" s="429"/>
      <c r="H17" s="429"/>
      <c r="I17" s="429"/>
      <c r="J17" s="429"/>
      <c r="K17" s="429"/>
      <c r="L17" s="429"/>
      <c r="M17" s="429"/>
      <c r="N17" s="429"/>
      <c r="O17" s="429"/>
    </row>
    <row r="18" spans="1:16" x14ac:dyDescent="0.15">
      <c r="A18" s="8" t="s">
        <v>2208</v>
      </c>
      <c r="B18" s="173" cm="1">
        <f t="array" ref="B18">INDEX(18:18, $B$9+2)</f>
        <v>95</v>
      </c>
      <c r="C18" s="46">
        <v>95</v>
      </c>
      <c r="D18" s="46">
        <v>90</v>
      </c>
      <c r="E18" s="46">
        <v>90</v>
      </c>
      <c r="F18" s="46">
        <v>95</v>
      </c>
      <c r="G18" s="429"/>
      <c r="H18" s="429"/>
      <c r="I18" s="429"/>
      <c r="J18" s="429"/>
      <c r="K18" s="429"/>
      <c r="L18" s="429"/>
      <c r="M18" s="429"/>
      <c r="N18" s="429"/>
      <c r="O18" s="429"/>
    </row>
    <row r="19" spans="1:16" x14ac:dyDescent="0.15">
      <c r="A19" s="8" t="s">
        <v>2209</v>
      </c>
      <c r="B19" s="173" cm="1">
        <f t="array" ref="B19">INDEX(19:19, $B$9+2)</f>
        <v>10</v>
      </c>
      <c r="C19" s="46">
        <v>70</v>
      </c>
      <c r="D19" s="46">
        <v>30</v>
      </c>
      <c r="E19" s="46">
        <v>20</v>
      </c>
      <c r="F19" s="46">
        <v>10</v>
      </c>
      <c r="G19" s="429"/>
      <c r="H19" s="429"/>
      <c r="I19" s="429"/>
      <c r="J19" s="429"/>
      <c r="K19" s="429"/>
      <c r="L19" s="429"/>
      <c r="M19" s="429"/>
      <c r="N19" s="429"/>
      <c r="O19" s="429"/>
    </row>
    <row r="20" spans="1:16" x14ac:dyDescent="0.15">
      <c r="A20" s="8" t="s">
        <v>2210</v>
      </c>
      <c r="B20" s="173" cm="1">
        <f t="array" ref="B20">INDEX(20:20, $B$9+2)</f>
        <v>5</v>
      </c>
      <c r="C20" s="46">
        <v>2</v>
      </c>
      <c r="D20" s="46">
        <v>2</v>
      </c>
      <c r="E20" s="46">
        <v>2</v>
      </c>
      <c r="F20" s="46">
        <v>5</v>
      </c>
      <c r="G20" s="429"/>
      <c r="H20" s="429"/>
      <c r="I20" s="429"/>
      <c r="J20" s="429"/>
      <c r="K20" s="429"/>
      <c r="L20" s="429"/>
      <c r="M20" s="429"/>
      <c r="N20" s="429"/>
      <c r="O20" s="429"/>
    </row>
    <row r="21" spans="1:16" x14ac:dyDescent="0.15">
      <c r="A21" s="8" t="s">
        <v>2211</v>
      </c>
      <c r="B21" s="173" t="b" cm="1">
        <f t="array" ref="B21">INDEX(21:21, $B$9+2)</f>
        <v>1</v>
      </c>
      <c r="C21" s="46" t="b">
        <v>0</v>
      </c>
      <c r="D21" s="46" t="b">
        <v>0</v>
      </c>
      <c r="E21" s="46" t="b">
        <v>0</v>
      </c>
      <c r="F21" s="46" t="b">
        <v>1</v>
      </c>
      <c r="G21" s="431"/>
      <c r="H21" s="431"/>
      <c r="I21" s="429"/>
      <c r="J21" s="429"/>
      <c r="K21" s="429"/>
      <c r="L21" s="429"/>
      <c r="M21" s="429"/>
      <c r="N21" s="429"/>
      <c r="O21" s="429"/>
    </row>
    <row r="22" spans="1:16" x14ac:dyDescent="0.15">
      <c r="A22" s="8" t="s">
        <v>2212</v>
      </c>
      <c r="B22" s="173" t="str" cm="1">
        <f t="array" ref="B22">INDEX(22:22, $B$9+2)</f>
        <v>Energy</v>
      </c>
      <c r="C22" s="46" t="s">
        <v>55</v>
      </c>
      <c r="D22" s="46" t="s">
        <v>55</v>
      </c>
      <c r="E22" s="46" t="s">
        <v>2213</v>
      </c>
      <c r="F22" s="46" t="s">
        <v>1444</v>
      </c>
      <c r="G22" s="429"/>
      <c r="H22" s="429"/>
      <c r="I22" s="429"/>
      <c r="J22" s="429"/>
      <c r="K22" s="429"/>
      <c r="L22" s="429"/>
      <c r="M22" s="429"/>
      <c r="N22" s="429"/>
      <c r="O22" s="429"/>
    </row>
    <row r="23" spans="1:16" x14ac:dyDescent="0.15">
      <c r="A23" t="s">
        <v>2214</v>
      </c>
      <c r="B23" s="173" cm="1">
        <f t="array" ref="B23">INDEX(23:23, $B$9+2)</f>
        <v>150</v>
      </c>
      <c r="C23" s="45">
        <v>50</v>
      </c>
      <c r="D23" s="45">
        <v>100</v>
      </c>
      <c r="E23" s="45">
        <v>150</v>
      </c>
      <c r="F23" s="45">
        <v>150</v>
      </c>
      <c r="G23" s="429"/>
      <c r="H23" s="429"/>
      <c r="I23" s="429"/>
      <c r="J23" s="429"/>
      <c r="K23" s="429"/>
      <c r="L23" s="429"/>
      <c r="M23" s="429"/>
      <c r="N23" s="429"/>
      <c r="O23" s="429"/>
    </row>
    <row r="24" spans="1:16" ht="15" customHeight="1" x14ac:dyDescent="0.15">
      <c r="G24" s="429"/>
      <c r="H24" s="429"/>
      <c r="I24" s="429"/>
      <c r="J24" s="429"/>
      <c r="K24" s="429"/>
      <c r="L24" s="429"/>
      <c r="M24" s="429"/>
      <c r="N24" s="429"/>
      <c r="O24" s="429"/>
    </row>
    <row r="25" spans="1:16" ht="15.75" customHeight="1" x14ac:dyDescent="0.15">
      <c r="A25" s="26" t="s">
        <v>2215</v>
      </c>
      <c r="B25" s="46"/>
      <c r="C25" s="46"/>
      <c r="D25" s="46"/>
      <c r="E25" s="46"/>
      <c r="F25" s="46"/>
      <c r="G25" s="429"/>
      <c r="H25" s="429"/>
      <c r="I25" s="429"/>
      <c r="J25" s="429"/>
      <c r="K25" s="429"/>
      <c r="L25" s="429"/>
      <c r="M25" s="429"/>
      <c r="N25" s="429"/>
      <c r="O25" s="429"/>
    </row>
    <row r="26" spans="1:16" x14ac:dyDescent="0.15">
      <c r="A26" s="8" t="s">
        <v>2216</v>
      </c>
      <c r="B26" s="173" t="b" cm="1">
        <f t="array" ref="B26">INDEX(26:26, $B$9+2)</f>
        <v>1</v>
      </c>
      <c r="C26" s="8" t="b">
        <v>0</v>
      </c>
      <c r="D26" s="8" t="b">
        <v>0</v>
      </c>
      <c r="E26" s="8" t="b">
        <v>1</v>
      </c>
      <c r="F26" s="8" t="b">
        <v>1</v>
      </c>
      <c r="G26" s="429"/>
      <c r="H26" s="429"/>
      <c r="I26" s="429"/>
      <c r="J26" s="429"/>
      <c r="K26" s="429"/>
      <c r="L26" s="429"/>
      <c r="M26" s="429"/>
      <c r="N26" s="429"/>
      <c r="O26" s="429"/>
    </row>
    <row r="27" spans="1:16" x14ac:dyDescent="0.15">
      <c r="A27" s="8" t="s">
        <v>2217</v>
      </c>
      <c r="B27" s="173" t="b" cm="1">
        <f t="array" ref="B27">INDEX(27:27, $B$9+2)</f>
        <v>1</v>
      </c>
      <c r="C27" s="8" t="b">
        <v>0</v>
      </c>
      <c r="D27" s="8" t="b">
        <v>0</v>
      </c>
      <c r="E27" s="8" t="b">
        <v>1</v>
      </c>
      <c r="F27" s="8" t="b">
        <v>1</v>
      </c>
      <c r="G27" s="429"/>
      <c r="H27" s="429"/>
      <c r="I27" s="429"/>
      <c r="J27" s="429"/>
      <c r="K27" s="429"/>
      <c r="L27" s="429"/>
      <c r="M27" s="429"/>
      <c r="N27" s="429"/>
      <c r="O27" s="429"/>
    </row>
    <row r="28" spans="1:16" x14ac:dyDescent="0.15">
      <c r="B28" s="46"/>
      <c r="G28" s="429"/>
      <c r="H28" s="429"/>
      <c r="I28" s="429"/>
      <c r="J28" s="429"/>
      <c r="K28" s="429"/>
      <c r="L28" s="429"/>
      <c r="M28" s="429"/>
      <c r="N28" s="429"/>
      <c r="O28" s="429"/>
    </row>
    <row r="29" spans="1:16" x14ac:dyDescent="0.15">
      <c r="A29" s="26" t="s">
        <v>2218</v>
      </c>
      <c r="B29" s="46"/>
      <c r="G29" s="429"/>
      <c r="H29" s="429"/>
      <c r="I29" s="429"/>
      <c r="J29" s="429"/>
      <c r="K29" s="429"/>
      <c r="L29" s="429"/>
      <c r="M29" s="429"/>
      <c r="N29" s="429"/>
      <c r="O29" s="429"/>
    </row>
    <row r="30" spans="1:16" x14ac:dyDescent="0.15">
      <c r="A30" s="8" t="s">
        <v>2219</v>
      </c>
      <c r="B30" s="173" t="b" cm="1">
        <f t="array" ref="B30">INDEX(30:30, $B$9+2)</f>
        <v>1</v>
      </c>
      <c r="C30" s="46" t="b">
        <v>0</v>
      </c>
      <c r="D30" s="46" t="b">
        <v>0</v>
      </c>
      <c r="E30" s="46" t="b">
        <v>0</v>
      </c>
      <c r="F30" s="46" t="b">
        <v>1</v>
      </c>
      <c r="G30" s="429"/>
      <c r="H30" s="429"/>
      <c r="I30" s="429"/>
      <c r="J30" s="429"/>
      <c r="K30" s="429"/>
      <c r="L30" s="429"/>
      <c r="M30" s="429"/>
      <c r="N30" s="429"/>
      <c r="O30" s="429"/>
      <c r="P30" s="562"/>
    </row>
    <row r="31" spans="1:16" x14ac:dyDescent="0.15">
      <c r="A31" s="8" t="s">
        <v>2220</v>
      </c>
      <c r="B31" s="173" t="b" cm="1">
        <f t="array" ref="B31">INDEX(31:31, $B$9+2)</f>
        <v>1</v>
      </c>
      <c r="C31" s="46" t="b">
        <v>0</v>
      </c>
      <c r="D31" s="46" t="b">
        <v>0</v>
      </c>
      <c r="E31" s="46" t="b">
        <v>1</v>
      </c>
      <c r="F31" s="46" t="b">
        <v>1</v>
      </c>
      <c r="G31" s="429"/>
      <c r="H31" s="429"/>
      <c r="I31" s="429"/>
      <c r="J31" s="429"/>
      <c r="K31" s="429"/>
      <c r="L31" s="429"/>
      <c r="M31" s="429"/>
      <c r="N31" s="429"/>
      <c r="O31" s="429"/>
      <c r="P31" s="562"/>
    </row>
    <row r="32" spans="1:16" x14ac:dyDescent="0.15">
      <c r="A32" s="9" t="s">
        <v>1162</v>
      </c>
      <c r="B32" s="173" cm="1">
        <f t="array" ref="B32">INDEX(32:32, $B$9+2)</f>
        <v>40</v>
      </c>
      <c r="C32" s="46">
        <v>20</v>
      </c>
      <c r="D32" s="46">
        <v>40</v>
      </c>
      <c r="E32" s="46">
        <v>40</v>
      </c>
      <c r="F32" s="46">
        <v>40</v>
      </c>
      <c r="G32" s="429"/>
      <c r="H32" s="429"/>
      <c r="I32" s="429"/>
      <c r="J32" s="429"/>
      <c r="K32" s="429"/>
      <c r="L32" s="429"/>
      <c r="M32" s="429"/>
      <c r="N32" s="429"/>
      <c r="O32" s="429"/>
    </row>
    <row r="33" spans="1:15" x14ac:dyDescent="0.15">
      <c r="A33" s="8" t="s">
        <v>1157</v>
      </c>
      <c r="B33" s="173" cm="1">
        <f t="array" ref="B33">INDEX(33:33, $B$9+2)</f>
        <v>20</v>
      </c>
      <c r="C33" s="46">
        <v>0</v>
      </c>
      <c r="D33" s="46">
        <v>20</v>
      </c>
      <c r="E33" s="46">
        <v>20</v>
      </c>
      <c r="F33" s="46">
        <v>20</v>
      </c>
      <c r="G33" s="429"/>
      <c r="H33" s="429"/>
      <c r="I33" s="429"/>
      <c r="J33" s="429"/>
      <c r="K33" s="429"/>
      <c r="L33" s="429"/>
      <c r="M33" s="429"/>
      <c r="N33" s="429"/>
      <c r="O33" s="429"/>
    </row>
    <row r="34" spans="1:15" x14ac:dyDescent="0.15">
      <c r="A34" s="8" t="s">
        <v>2221</v>
      </c>
      <c r="B34" s="173" cm="1">
        <f t="array" ref="B34">INDEX(34:34, $B$9+2)</f>
        <v>70</v>
      </c>
      <c r="C34" s="45">
        <v>0</v>
      </c>
      <c r="D34" s="45">
        <v>35</v>
      </c>
      <c r="E34" s="45">
        <v>70</v>
      </c>
      <c r="F34" s="45">
        <v>70</v>
      </c>
      <c r="G34" s="429"/>
      <c r="H34" s="429"/>
      <c r="I34" s="429"/>
      <c r="J34" s="429"/>
      <c r="K34" s="429"/>
      <c r="L34" s="429"/>
      <c r="M34" s="429"/>
      <c r="N34" s="429"/>
      <c r="O34" s="429"/>
    </row>
    <row r="35" spans="1:15" x14ac:dyDescent="0.15">
      <c r="A35" t="s">
        <v>1798</v>
      </c>
      <c r="B35" s="173" cm="1">
        <f t="array" ref="B35">INDEX(35:35, $B$9+2)</f>
        <v>250</v>
      </c>
      <c r="C35" s="45">
        <v>250</v>
      </c>
      <c r="D35" s="45">
        <v>250</v>
      </c>
      <c r="E35" s="45">
        <v>250</v>
      </c>
      <c r="F35" s="45">
        <v>250</v>
      </c>
      <c r="G35" s="429"/>
      <c r="H35" s="429"/>
      <c r="I35" s="429"/>
      <c r="J35" s="429"/>
      <c r="K35" s="429"/>
      <c r="L35" s="429"/>
      <c r="M35" s="429"/>
      <c r="N35" s="429"/>
      <c r="O35" s="429"/>
    </row>
    <row r="36" spans="1:15" x14ac:dyDescent="0.15">
      <c r="A36" s="8" t="s">
        <v>2222</v>
      </c>
      <c r="B36" s="173" cm="1">
        <f t="array" ref="B36">INDEX(36:36, $B$9+2)</f>
        <v>0.04</v>
      </c>
      <c r="C36" s="45">
        <v>0.02</v>
      </c>
      <c r="D36" s="45">
        <v>0.04</v>
      </c>
      <c r="E36" s="45">
        <v>0.04</v>
      </c>
      <c r="F36" s="45">
        <v>0.04</v>
      </c>
      <c r="G36" s="429"/>
      <c r="H36" s="429"/>
      <c r="I36" s="429"/>
      <c r="J36" s="429"/>
      <c r="K36" s="429"/>
      <c r="L36" s="429"/>
      <c r="M36" s="429"/>
      <c r="N36" s="429"/>
      <c r="O36" s="429"/>
    </row>
    <row r="37" spans="1:15" x14ac:dyDescent="0.15">
      <c r="G37" s="429"/>
      <c r="H37" s="429"/>
      <c r="I37" s="429"/>
      <c r="J37" s="429"/>
      <c r="K37" s="429"/>
      <c r="L37" s="429"/>
      <c r="M37" s="429"/>
      <c r="N37" s="429"/>
      <c r="O37" s="429"/>
    </row>
    <row r="38" spans="1:15" x14ac:dyDescent="0.15">
      <c r="G38" s="429"/>
      <c r="H38" s="429"/>
      <c r="I38" s="429"/>
      <c r="J38" s="429"/>
      <c r="K38" s="429"/>
      <c r="L38" s="429"/>
      <c r="M38" s="429"/>
      <c r="N38" s="429"/>
      <c r="O38" s="429"/>
    </row>
    <row r="39" spans="1:15" x14ac:dyDescent="0.15">
      <c r="G39" s="429"/>
      <c r="H39" s="429"/>
      <c r="I39" s="429"/>
      <c r="J39" s="429"/>
      <c r="K39" s="429"/>
      <c r="L39" s="429"/>
      <c r="M39" s="429"/>
      <c r="N39" s="429"/>
      <c r="O39" s="429"/>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D192"/>
  <sheetViews>
    <sheetView topLeftCell="A3" workbookViewId="0">
      <selection activeCell="L26" sqref="L26"/>
    </sheetView>
  </sheetViews>
  <sheetFormatPr baseColWidth="10" defaultColWidth="8.5" defaultRowHeight="16" x14ac:dyDescent="0.2"/>
  <cols>
    <col min="1" max="1" width="14" customWidth="1"/>
    <col min="2" max="2" width="100.1640625" customWidth="1"/>
    <col min="3" max="3" width="16.5" style="6" customWidth="1"/>
    <col min="4" max="9" width="16.5" customWidth="1"/>
    <col min="11" max="11" width="16.5" customWidth="1"/>
    <col min="12" max="12" width="19.5" customWidth="1"/>
    <col min="13" max="13" width="22.5" customWidth="1"/>
    <col min="14" max="14" width="40.83203125" customWidth="1"/>
    <col min="15" max="15" width="30.5" bestFit="1" customWidth="1"/>
    <col min="16" max="16" width="13" customWidth="1"/>
    <col min="17" max="18" width="13.5" customWidth="1"/>
    <col min="19" max="19" width="12.5" customWidth="1"/>
    <col min="20" max="20" width="11.5" customWidth="1"/>
    <col min="21" max="21" width="12.1640625" customWidth="1"/>
    <col min="22" max="23" width="12.1640625" bestFit="1" customWidth="1"/>
    <col min="24" max="24" width="12" customWidth="1"/>
    <col min="25" max="26" width="12.1640625" bestFit="1" customWidth="1"/>
    <col min="27" max="27" width="12.1640625" customWidth="1"/>
    <col min="41" max="41" width="8.1640625" customWidth="1"/>
    <col min="42" max="42" width="31.5" customWidth="1"/>
    <col min="43" max="43" width="27.1640625" customWidth="1"/>
    <col min="44" max="44" width="25.5" customWidth="1"/>
    <col min="45" max="45" width="13.5" customWidth="1"/>
    <col min="46" max="46" width="14.5" bestFit="1" customWidth="1"/>
    <col min="47" max="47" width="15.5" bestFit="1" customWidth="1"/>
    <col min="48" max="48" width="10.5" bestFit="1" customWidth="1"/>
    <col min="49" max="49" width="14.5" bestFit="1" customWidth="1"/>
    <col min="50" max="51" width="15.5" bestFit="1" customWidth="1"/>
  </cols>
  <sheetData>
    <row r="1" spans="1:56" x14ac:dyDescent="0.2">
      <c r="A1" s="6"/>
      <c r="F1" s="1374" t="s">
        <v>2223</v>
      </c>
      <c r="G1" s="1374"/>
      <c r="H1" s="1374"/>
      <c r="I1" s="1374"/>
      <c r="J1" s="1374"/>
      <c r="K1" s="1374"/>
      <c r="L1" s="1374"/>
      <c r="M1" s="1374"/>
      <c r="N1" s="1374"/>
      <c r="O1" s="1374"/>
    </row>
    <row r="2" spans="1:56" x14ac:dyDescent="0.2">
      <c r="F2" s="1374"/>
      <c r="G2" s="1374"/>
      <c r="H2" s="1374"/>
      <c r="I2" s="1374"/>
      <c r="J2" s="1374"/>
      <c r="K2" s="1374"/>
      <c r="L2" s="1374"/>
      <c r="M2" s="1374"/>
      <c r="N2" s="1374"/>
      <c r="O2" s="1374"/>
    </row>
    <row r="3" spans="1:56" ht="35.75" customHeight="1" thickBot="1" x14ac:dyDescent="0.25">
      <c r="F3" s="1374"/>
      <c r="G3" s="1374"/>
      <c r="H3" s="1374"/>
      <c r="I3" s="1374"/>
      <c r="J3" s="1374"/>
      <c r="K3" s="1374"/>
      <c r="L3" s="1374"/>
      <c r="M3" s="1374"/>
      <c r="N3" s="1374"/>
      <c r="O3" s="1374"/>
    </row>
    <row r="4" spans="1:56" ht="19.25" customHeight="1" thickBot="1" x14ac:dyDescent="0.3">
      <c r="A4" s="179" t="s">
        <v>2224</v>
      </c>
      <c r="B4" s="493">
        <f t="array" ref="B4">MAX(IF(ISNUMBER(Chem!1:1),Chem!1:1, 0))</f>
        <v>19</v>
      </c>
      <c r="C4" s="487"/>
      <c r="D4" s="1172" t="s">
        <v>1977</v>
      </c>
      <c r="E4" s="1172" t="s">
        <v>1977</v>
      </c>
      <c r="F4" s="1176" t="s">
        <v>2225</v>
      </c>
      <c r="G4" s="1166" t="s">
        <v>1978</v>
      </c>
      <c r="H4" s="1176" t="s">
        <v>2226</v>
      </c>
      <c r="I4" s="1173"/>
      <c r="AE4">
        <v>10</v>
      </c>
    </row>
    <row r="5" spans="1:56" ht="17" thickBot="1" x14ac:dyDescent="0.25">
      <c r="A5" s="492" t="s">
        <v>2227</v>
      </c>
      <c r="B5" s="494"/>
      <c r="C5" s="1171" t="s">
        <v>2228</v>
      </c>
      <c r="D5" s="1163" t="s">
        <v>2229</v>
      </c>
      <c r="E5" s="1163" t="s">
        <v>2230</v>
      </c>
      <c r="F5" s="1177" t="s">
        <v>2229</v>
      </c>
      <c r="G5" s="372" t="s">
        <v>2230</v>
      </c>
      <c r="H5" s="1177" t="s">
        <v>2231</v>
      </c>
      <c r="I5" s="1174"/>
      <c r="N5" s="8"/>
      <c r="BA5" s="6" t="s">
        <v>47</v>
      </c>
      <c r="BB5" s="8" t="s">
        <v>2232</v>
      </c>
      <c r="BD5" s="8" t="s">
        <v>2233</v>
      </c>
    </row>
    <row r="6" spans="1:56" x14ac:dyDescent="0.2">
      <c r="A6" s="1165">
        <v>1</v>
      </c>
      <c r="B6" s="1178" t="str">
        <f>IFERROR(INDEX(Chem!$1:$1, MATCH(A6, Chem!$1:$1, 0) - 2), "")</f>
        <v>NMC333-G (Power)</v>
      </c>
      <c r="C6" s="489">
        <f>IF(B6="", "", MATCH(B6, Chem!$1:$1, 0))</f>
        <v>14</v>
      </c>
      <c r="D6" s="372" cm="1">
        <f t="array" aca="1" ref="D6" ca="1">IF(C6 = "", "", INDIRECT("Chem!" &amp;ADDRESS(8, C6)))</f>
        <v>171.3</v>
      </c>
      <c r="E6" s="1175" cm="1">
        <f t="array" aca="1" ref="E6" ca="1">IF(C6 = "", "", INDIRECT("Chem!" &amp;ADDRESS(149, C6)))</f>
        <v>29.5</v>
      </c>
      <c r="F6" s="372" cm="1">
        <f t="array" aca="1" ref="F6" ca="1">IF(C6 = "", "", INDIRECT("Chem!" &amp;ADDRESS(38, C6)))</f>
        <v>360.4</v>
      </c>
      <c r="G6" s="1175" cm="1">
        <f t="array" aca="1" ref="G6" ca="1">IF(C6 = "", "", INDIRECT("Chem!" &amp;ADDRESS(155, C6)))</f>
        <v>9</v>
      </c>
      <c r="H6" s="1181" cm="1">
        <f t="array" aca="1" ref="H6" ca="1">IF(C6 = "", "", INDIRECT("Chem!" &amp;ADDRESS(101, C6)))</f>
        <v>3.7139048313132266</v>
      </c>
      <c r="I6" s="1174"/>
      <c r="N6" s="8"/>
      <c r="BA6" s="6" t="s">
        <v>2234</v>
      </c>
      <c r="BB6" s="6" t="s">
        <v>2234</v>
      </c>
    </row>
    <row r="7" spans="1:56" x14ac:dyDescent="0.2">
      <c r="A7" s="1167">
        <f t="shared" ref="A7:A38" si="0">IF(OR(A6 = "", $B$4 = A6), "", A6 + 1)</f>
        <v>2</v>
      </c>
      <c r="B7" s="1179" t="str">
        <f>IFERROR(INDEX(Chem!$1:$1, MATCH(A7, Chem!$1:$1, 0) - 2), "")</f>
        <v>NMC333-G (Energy)</v>
      </c>
      <c r="C7" s="489">
        <f>IF(B7="", "", MATCH(B7, Chem!$1:$1, 0))</f>
        <v>19</v>
      </c>
      <c r="D7" s="372" cm="1">
        <f t="array" aca="1" ref="D7" ca="1">IF(C7 = "", "", INDIRECT("Chem!" &amp;ADDRESS(8, C7)))</f>
        <v>171.3</v>
      </c>
      <c r="E7" s="1175" cm="1">
        <f t="array" aca="1" ref="E7" ca="1">IF(C7 = "", "", INDIRECT("Chem!" &amp;ADDRESS(149, C7)))</f>
        <v>29.5</v>
      </c>
      <c r="F7" s="372" cm="1">
        <f t="array" aca="1" ref="F7" ca="1">IF(C7 = "", "", INDIRECT("Chem!" &amp;ADDRESS(38, C7)))</f>
        <v>360.4</v>
      </c>
      <c r="G7" s="1175" cm="1">
        <f t="array" aca="1" ref="G7" ca="1">IF(C7 = "", "", INDIRECT("Chem!" &amp;ADDRESS(155, C7)))</f>
        <v>9</v>
      </c>
      <c r="H7" s="1181" cm="1">
        <f t="array" aca="1" ref="H7" ca="1">IF(C7 = "", "", INDIRECT("Chem!" &amp;ADDRESS(101, C7)))</f>
        <v>3.7139048313132266</v>
      </c>
      <c r="I7" s="1174"/>
      <c r="BA7" s="6" t="s">
        <v>2235</v>
      </c>
      <c r="BB7" s="6" t="s">
        <v>2236</v>
      </c>
      <c r="BD7" s="8" t="s">
        <v>812</v>
      </c>
    </row>
    <row r="8" spans="1:56" x14ac:dyDescent="0.2">
      <c r="A8" s="1167">
        <f t="shared" si="0"/>
        <v>3</v>
      </c>
      <c r="B8" s="1179" t="str">
        <f>IFERROR(INDEX(Chem!$1:$1, MATCH(A8, Chem!$1:$1, 0) - 2), "")</f>
        <v>NMC532-G (Power)</v>
      </c>
      <c r="C8" s="489">
        <f>IF(B8="", "", MATCH(B8, Chem!$1:$1, 0))</f>
        <v>24</v>
      </c>
      <c r="D8" s="372" cm="1">
        <f t="array" aca="1" ref="D8" ca="1">IF(C8 = "", "", INDIRECT("Chem!" &amp;ADDRESS(8, C8)))</f>
        <v>187.1</v>
      </c>
      <c r="E8" s="1175" cm="1">
        <f t="array" aca="1" ref="E8" ca="1">IF(C8 = "", "", INDIRECT("Chem!" &amp;ADDRESS(149, C8)))</f>
        <v>31</v>
      </c>
      <c r="F8" s="372" cm="1">
        <f t="array" aca="1" ref="F8" ca="1">IF(C8 = "", "", INDIRECT("Chem!" &amp;ADDRESS(38, C8)))</f>
        <v>360.4</v>
      </c>
      <c r="G8" s="1175" cm="1">
        <f t="array" aca="1" ref="G8" ca="1">IF(C8 = "", "", INDIRECT("Chem!" &amp;ADDRESS(155, C8)))</f>
        <v>9</v>
      </c>
      <c r="H8" s="1181" cm="1">
        <f t="array" aca="1" ref="H8" ca="1">IF(C8 = "", "", INDIRECT("Chem!" &amp;ADDRESS(101, C8)))</f>
        <v>3.7046640670027609</v>
      </c>
      <c r="I8" s="1174"/>
      <c r="BA8" s="6" t="s">
        <v>2197</v>
      </c>
      <c r="BB8" s="6" t="s">
        <v>2237</v>
      </c>
      <c r="BD8" t="s">
        <v>785</v>
      </c>
    </row>
    <row r="9" spans="1:56" x14ac:dyDescent="0.2">
      <c r="A9" s="1167">
        <f t="shared" si="0"/>
        <v>4</v>
      </c>
      <c r="B9" s="1179" t="str">
        <f>IFERROR(INDEX(Chem!$1:$1, MATCH(A9, Chem!$1:$1, 0) - 2), "")</f>
        <v>NMC532-G (Energy)</v>
      </c>
      <c r="C9" s="489">
        <f>IF(B9="", "", MATCH(B9, Chem!$1:$1, 0))</f>
        <v>29</v>
      </c>
      <c r="D9" s="372" cm="1">
        <f t="array" aca="1" ref="D9" ca="1">IF(C9 = "", "", INDIRECT("Chem!" &amp;ADDRESS(8, C9)))</f>
        <v>187.1</v>
      </c>
      <c r="E9" s="1175" cm="1">
        <f t="array" aca="1" ref="E9" ca="1">IF(C9 = "", "", INDIRECT("Chem!" &amp;ADDRESS(149, C9)))</f>
        <v>31</v>
      </c>
      <c r="F9" s="372" cm="1">
        <f t="array" aca="1" ref="F9" ca="1">IF(C9 = "", "", INDIRECT("Chem!" &amp;ADDRESS(38, C9)))</f>
        <v>360.4</v>
      </c>
      <c r="G9" s="1175" cm="1">
        <f t="array" aca="1" ref="G9" ca="1">IF(C9 = "", "", INDIRECT("Chem!" &amp;ADDRESS(155, C9)))</f>
        <v>9</v>
      </c>
      <c r="H9" s="1181" cm="1">
        <f t="array" aca="1" ref="H9" ca="1">IF(C9 = "", "", INDIRECT("Chem!" &amp;ADDRESS(101, C9)))</f>
        <v>3.7046640670027609</v>
      </c>
      <c r="I9" s="1174"/>
      <c r="BA9" s="6" t="s">
        <v>2198</v>
      </c>
      <c r="BB9" s="6" t="s">
        <v>2238</v>
      </c>
    </row>
    <row r="10" spans="1:56" x14ac:dyDescent="0.2">
      <c r="A10" s="1167">
        <f t="shared" si="0"/>
        <v>5</v>
      </c>
      <c r="B10" s="1179" t="str">
        <f>IFERROR(INDEX(Chem!$1:$1, MATCH(A10, Chem!$1:$1, 0) - 2), "")</f>
        <v>NMC622-G (Power)</v>
      </c>
      <c r="C10" s="489">
        <f>IF(B10="", "", MATCH(B10, Chem!$1:$1, 0))</f>
        <v>34</v>
      </c>
      <c r="D10" s="372" cm="1">
        <f t="array" aca="1" ref="D10" ca="1">IF(C10 = "", "", INDIRECT("Chem!" &amp;ADDRESS(8, C10)))</f>
        <v>190.9</v>
      </c>
      <c r="E10" s="1175" cm="1">
        <f t="array" aca="1" ref="E10" ca="1">IF(C10 = "", "", INDIRECT("Chem!" &amp;ADDRESS(149, C10)))</f>
        <v>30.5</v>
      </c>
      <c r="F10" s="372" cm="1">
        <f t="array" aca="1" ref="F10" ca="1">IF(C10 = "", "", INDIRECT("Chem!" &amp;ADDRESS(38, C10)))</f>
        <v>360.4</v>
      </c>
      <c r="G10" s="1175" cm="1">
        <f t="array" aca="1" ref="G10" ca="1">IF(C10 = "", "", INDIRECT("Chem!" &amp;ADDRESS(155, C10)))</f>
        <v>9</v>
      </c>
      <c r="H10" s="1181" cm="1">
        <f t="array" aca="1" ref="H10" ca="1">IF(C10 = "", "", INDIRECT("Chem!" &amp;ADDRESS(101, C10)))</f>
        <v>3.7054143702008751</v>
      </c>
      <c r="I10" s="1174"/>
      <c r="BA10" s="6" t="s">
        <v>48</v>
      </c>
    </row>
    <row r="11" spans="1:56" x14ac:dyDescent="0.2">
      <c r="A11" s="1167">
        <f t="shared" si="0"/>
        <v>6</v>
      </c>
      <c r="B11" s="1179" t="str">
        <f>IFERROR(INDEX(Chem!$1:$1, MATCH(A11, Chem!$1:$1, 0) - 2), "")</f>
        <v>NMC622-G (Energy)</v>
      </c>
      <c r="C11" s="489">
        <f>IF(B11="", "", MATCH(B11, Chem!$1:$1, 0))</f>
        <v>39</v>
      </c>
      <c r="D11" s="372" cm="1">
        <f t="array" aca="1" ref="D11" ca="1">IF(C11 = "", "", INDIRECT("Chem!" &amp;ADDRESS(8, C11)))</f>
        <v>190.9</v>
      </c>
      <c r="E11" s="1175" cm="1">
        <f t="array" aca="1" ref="E11" ca="1">IF(C11 = "", "", INDIRECT("Chem!" &amp;ADDRESS(149, C11)))</f>
        <v>30.5</v>
      </c>
      <c r="F11" s="372" cm="1">
        <f t="array" aca="1" ref="F11" ca="1">IF(C11 = "", "", INDIRECT("Chem!" &amp;ADDRESS(38, C11)))</f>
        <v>360.4</v>
      </c>
      <c r="G11" s="1175" cm="1">
        <f t="array" aca="1" ref="G11" ca="1">IF(C11 = "", "", INDIRECT("Chem!" &amp;ADDRESS(155, C11)))</f>
        <v>9</v>
      </c>
      <c r="H11" s="1181" cm="1">
        <f t="array" aca="1" ref="H11" ca="1">IF(C11 = "", "", INDIRECT("Chem!" &amp;ADDRESS(101, C11)))</f>
        <v>3.7054143702008751</v>
      </c>
      <c r="I11" s="1174"/>
      <c r="BA11" s="6"/>
    </row>
    <row r="12" spans="1:56" x14ac:dyDescent="0.2">
      <c r="A12" s="1167">
        <f t="shared" si="0"/>
        <v>7</v>
      </c>
      <c r="B12" s="1179" t="str">
        <f>IFERROR(INDEX(Chem!$1:$1, MATCH(A12, Chem!$1:$1, 0) - 2), "")</f>
        <v>NMC811-G (Power)</v>
      </c>
      <c r="C12" s="489">
        <f>IF(B12="", "", MATCH(B12, Chem!$1:$1, 0))</f>
        <v>44</v>
      </c>
      <c r="D12" s="372" cm="1">
        <f t="array" aca="1" ref="D12" ca="1">IF(C12 = "", "", INDIRECT("Chem!" &amp;ADDRESS(8, C12)))</f>
        <v>213.6</v>
      </c>
      <c r="E12" s="1175" cm="1">
        <f t="array" aca="1" ref="E12" ca="1">IF(C12 = "", "", INDIRECT("Chem!" &amp;ADDRESS(149, C12)))</f>
        <v>34.5</v>
      </c>
      <c r="F12" s="372" cm="1">
        <f t="array" aca="1" ref="F12" ca="1">IF(C12 = "", "", INDIRECT("Chem!" &amp;ADDRESS(38, C12)))</f>
        <v>360.4</v>
      </c>
      <c r="G12" s="1175" cm="1">
        <f t="array" aca="1" ref="G12" ca="1">IF(C12 = "", "", INDIRECT("Chem!" &amp;ADDRESS(155, C12)))</f>
        <v>9</v>
      </c>
      <c r="H12" s="1181" cm="1">
        <f t="array" aca="1" ref="H12" ca="1">IF(C12 = "", "", INDIRECT("Chem!" &amp;ADDRESS(101, C12)))</f>
        <v>3.7132048846307271</v>
      </c>
      <c r="I12" s="1174"/>
      <c r="BA12" s="6"/>
    </row>
    <row r="13" spans="1:56" x14ac:dyDescent="0.2">
      <c r="A13" s="1167">
        <f t="shared" si="0"/>
        <v>8</v>
      </c>
      <c r="B13" s="1179" t="str">
        <f>IFERROR(INDEX(Chem!$1:$1, MATCH(A13, Chem!$1:$1, 0) - 2), "")</f>
        <v>NMC811-G (Energy)</v>
      </c>
      <c r="C13" s="489">
        <f>IF(B13="", "", MATCH(B13, Chem!$1:$1, 0))</f>
        <v>49</v>
      </c>
      <c r="D13" s="372" cm="1">
        <f t="array" aca="1" ref="D13" ca="1">IF(C13 = "", "", INDIRECT("Chem!" &amp;ADDRESS(8, C13)))</f>
        <v>213.6</v>
      </c>
      <c r="E13" s="1175" cm="1">
        <f t="array" aca="1" ref="E13" ca="1">IF(C13 = "", "", INDIRECT("Chem!" &amp;ADDRESS(149, C13)))</f>
        <v>34.5</v>
      </c>
      <c r="F13" s="372" cm="1">
        <f t="array" aca="1" ref="F13" ca="1">IF(C13 = "", "", INDIRECT("Chem!" &amp;ADDRESS(38, C13)))</f>
        <v>360.4</v>
      </c>
      <c r="G13" s="1175" cm="1">
        <f t="array" aca="1" ref="G13" ca="1">IF(C13 = "", "", INDIRECT("Chem!" &amp;ADDRESS(155, C13)))</f>
        <v>9</v>
      </c>
      <c r="H13" s="1181" cm="1">
        <f t="array" aca="1" ref="H13" ca="1">IF(C13 = "", "", INDIRECT("Chem!" &amp;ADDRESS(101, C13)))</f>
        <v>3.7132048846307271</v>
      </c>
      <c r="I13" s="1174"/>
      <c r="BA13" s="8" t="s">
        <v>2239</v>
      </c>
      <c r="BD13" s="8" t="s">
        <v>2240</v>
      </c>
    </row>
    <row r="14" spans="1:56" x14ac:dyDescent="0.2">
      <c r="A14" s="1168">
        <f t="shared" si="0"/>
        <v>9</v>
      </c>
      <c r="B14" s="1179" t="str">
        <f>IFERROR(INDEX(Chem!$1:$1, MATCH(A14, Chem!$1:$1, 0) - 2), "")</f>
        <v>NMC95-G (Power)</v>
      </c>
      <c r="C14" s="489">
        <f>IF(B14="", "", MATCH(B14, Chem!$1:$1, 0))</f>
        <v>54</v>
      </c>
      <c r="D14" s="372" cm="1">
        <f t="array" aca="1" ref="D14" ca="1">IF(C14 = "", "", INDIRECT("Chem!" &amp;ADDRESS(8, C14)))</f>
        <v>230</v>
      </c>
      <c r="E14" s="1175" cm="1">
        <f t="array" aca="1" ref="E14" ca="1">IF(C14 = "", "", INDIRECT("Chem!" &amp;ADDRESS(149, C14)))</f>
        <v>35</v>
      </c>
      <c r="F14" s="372" cm="1">
        <f t="array" aca="1" ref="F14" ca="1">IF(C14 = "", "", INDIRECT("Chem!" &amp;ADDRESS(38, C14)))</f>
        <v>360.4</v>
      </c>
      <c r="G14" s="1175" cm="1">
        <f t="array" aca="1" ref="G14" ca="1">IF(C14 = "", "", INDIRECT("Chem!" &amp;ADDRESS(155, C14)))</f>
        <v>9</v>
      </c>
      <c r="H14" s="1181" cm="1">
        <f t="array" aca="1" ref="H14" ca="1">IF(C14 = "", "", INDIRECT("Chem!" &amp;ADDRESS(101, C14)))</f>
        <v>3.7336296216439857</v>
      </c>
      <c r="I14" s="1174"/>
      <c r="BA14" s="6" t="s">
        <v>2234</v>
      </c>
      <c r="BB14" s="6" t="s">
        <v>2241</v>
      </c>
    </row>
    <row r="15" spans="1:56" x14ac:dyDescent="0.2">
      <c r="A15" s="1168">
        <f t="shared" si="0"/>
        <v>10</v>
      </c>
      <c r="B15" s="1179" t="str">
        <f>IFERROR(INDEX(Chem!$1:$1, MATCH(A15, Chem!$1:$1, 0) - 2), "")</f>
        <v>NMC95-G (Energy)</v>
      </c>
      <c r="C15" s="489">
        <f>IF(B15="", "", MATCH(B15, Chem!$1:$1, 0))</f>
        <v>59</v>
      </c>
      <c r="D15" s="372" cm="1">
        <f t="array" aca="1" ref="D15" ca="1">IF(C15 = "", "", INDIRECT("Chem!" &amp;ADDRESS(8, C15)))</f>
        <v>230</v>
      </c>
      <c r="E15" s="1175" cm="1">
        <f t="array" aca="1" ref="E15" ca="1">IF(C15 = "", "", INDIRECT("Chem!" &amp;ADDRESS(149, C15)))</f>
        <v>35</v>
      </c>
      <c r="F15" s="372" cm="1">
        <f t="array" aca="1" ref="F15" ca="1">IF(C15 = "", "", INDIRECT("Chem!" &amp;ADDRESS(38, C15)))</f>
        <v>360.4</v>
      </c>
      <c r="G15" s="1175" cm="1">
        <f t="array" aca="1" ref="G15" ca="1">IF(C15 = "", "", INDIRECT("Chem!" &amp;ADDRESS(155, C15)))</f>
        <v>9</v>
      </c>
      <c r="H15" s="1181" cm="1">
        <f t="array" aca="1" ref="H15" ca="1">IF(C15 = "", "", INDIRECT("Chem!" &amp;ADDRESS(101, C15)))</f>
        <v>3.7336296216439857</v>
      </c>
      <c r="I15" s="1174"/>
      <c r="BA15" s="6" t="s">
        <v>65</v>
      </c>
      <c r="BB15" s="6" t="s">
        <v>2242</v>
      </c>
      <c r="BD15" s="8" t="s">
        <v>797</v>
      </c>
    </row>
    <row r="16" spans="1:56" x14ac:dyDescent="0.2">
      <c r="A16" s="1168">
        <f t="shared" si="0"/>
        <v>11</v>
      </c>
      <c r="B16" s="1179" t="str">
        <f>IFERROR(INDEX(Chem!$1:$1, MATCH(A16, Chem!$1:$1, 0) - 2), "")</f>
        <v>NCA-G (Power)</v>
      </c>
      <c r="C16" s="489">
        <f>IF(B16="", "", MATCH(B16, Chem!$1:$1, 0))</f>
        <v>65</v>
      </c>
      <c r="D16" s="372" cm="1">
        <f t="array" aca="1" ref="D16" ca="1">IF(C16 = "", "", INDIRECT("Chem!" &amp;ADDRESS(8, C16)))</f>
        <v>202</v>
      </c>
      <c r="E16" s="1175" cm="1">
        <f t="array" aca="1" ref="E16" ca="1">IF(C16 = "", "", INDIRECT("Chem!" &amp;ADDRESS(149, C16)))</f>
        <v>35.5</v>
      </c>
      <c r="F16" s="372" cm="1">
        <f t="array" aca="1" ref="F16" ca="1">IF(C16 = "", "", INDIRECT("Chem!" &amp;ADDRESS(38, C16)))</f>
        <v>360.4</v>
      </c>
      <c r="G16" s="1175" cm="1">
        <f t="array" aca="1" ref="G16" ca="1">IF(C16 = "", "", INDIRECT("Chem!" &amp;ADDRESS(155, C16)))</f>
        <v>9</v>
      </c>
      <c r="H16" s="1181" cm="1">
        <f t="array" aca="1" ref="H16" ca="1">IF(C16 = "", "", INDIRECT("Chem!" &amp;ADDRESS(101, C16)))</f>
        <v>3.6985132490144874</v>
      </c>
      <c r="I16" s="1174"/>
      <c r="BA16" s="6" t="s">
        <v>44</v>
      </c>
      <c r="BB16" s="6"/>
      <c r="BD16" s="8" t="s">
        <v>762</v>
      </c>
    </row>
    <row r="17" spans="1:54" x14ac:dyDescent="0.2">
      <c r="A17" s="1168">
        <f t="shared" si="0"/>
        <v>12</v>
      </c>
      <c r="B17" s="1179" t="str">
        <f>IFERROR(INDEX(Chem!$1:$1, MATCH(A17, Chem!$1:$1, 0) - 2), "")</f>
        <v>NCA-G (Energy)</v>
      </c>
      <c r="C17" s="489">
        <f>IF(B17="", "", MATCH(B17, Chem!$1:$1, 0))</f>
        <v>70</v>
      </c>
      <c r="D17" s="372" cm="1">
        <f t="array" aca="1" ref="D17" ca="1">IF(C17 = "", "", INDIRECT("Chem!" &amp;ADDRESS(8, C17)))</f>
        <v>202</v>
      </c>
      <c r="E17" s="1175" cm="1">
        <f t="array" aca="1" ref="E17" ca="1">IF(C17 = "", "", INDIRECT("Chem!" &amp;ADDRESS(149, C17)))</f>
        <v>35.5</v>
      </c>
      <c r="F17" s="372" cm="1">
        <f t="array" aca="1" ref="F17" ca="1">IF(C17 = "", "", INDIRECT("Chem!" &amp;ADDRESS(38, C17)))</f>
        <v>360.4</v>
      </c>
      <c r="G17" s="1175" cm="1">
        <f t="array" aca="1" ref="G17" ca="1">IF(C17 = "", "", INDIRECT("Chem!" &amp;ADDRESS(155, C17)))</f>
        <v>9</v>
      </c>
      <c r="H17" s="1181" cm="1">
        <f t="array" aca="1" ref="H17" ca="1">IF(C17 = "", "", INDIRECT("Chem!" &amp;ADDRESS(101, C17)))</f>
        <v>3.6985132490144874</v>
      </c>
      <c r="I17" s="1174"/>
      <c r="BA17" s="6"/>
      <c r="BB17" s="6"/>
    </row>
    <row r="18" spans="1:54" x14ac:dyDescent="0.2">
      <c r="A18" s="1168">
        <f t="shared" si="0"/>
        <v>13</v>
      </c>
      <c r="B18" s="1179" t="str">
        <f>IFERROR(INDEX(Chem!$1:$1, MATCH(A18, Chem!$1:$1, 0) - 2), "")</f>
        <v>LFP-G (Power)</v>
      </c>
      <c r="C18" s="489">
        <f>IF(B18="", "", MATCH(B18, Chem!$1:$1, 0))</f>
        <v>75</v>
      </c>
      <c r="D18" s="372" cm="1">
        <f t="array" aca="1" ref="D18" ca="1">IF(C18 = "", "", INDIRECT("Chem!" &amp;ADDRESS(8, C18)))</f>
        <v>156.69999999999999</v>
      </c>
      <c r="E18" s="1175" cm="1">
        <f t="array" aca="1" ref="E18" ca="1">IF(C18 = "", "", INDIRECT("Chem!" &amp;ADDRESS(149, C18)))</f>
        <v>11.5</v>
      </c>
      <c r="F18" s="372" cm="1">
        <f t="array" aca="1" ref="F18" ca="1">IF(C18 = "", "", INDIRECT("Chem!" &amp;ADDRESS(38, C18)))</f>
        <v>360.4</v>
      </c>
      <c r="G18" s="1175" cm="1">
        <f t="array" aca="1" ref="G18" ca="1">IF(C18 = "", "", INDIRECT("Chem!" &amp;ADDRESS(155, C18)))</f>
        <v>9</v>
      </c>
      <c r="H18" s="1181" cm="1">
        <f t="array" aca="1" ref="H18" ca="1">IF(C18 = "", "", INDIRECT("Chem!" &amp;ADDRESS(101, C18)))</f>
        <v>3.3246573377885946</v>
      </c>
      <c r="I18" s="1174"/>
      <c r="BA18" s="6"/>
    </row>
    <row r="19" spans="1:54" x14ac:dyDescent="0.2">
      <c r="A19" s="1168">
        <f t="shared" si="0"/>
        <v>14</v>
      </c>
      <c r="B19" s="1179" t="str">
        <f>IFERROR(INDEX(Chem!$1:$1, MATCH(A19, Chem!$1:$1, 0) - 2), "")</f>
        <v>LFP-G (Energy)</v>
      </c>
      <c r="C19" s="489">
        <f>IF(B19="", "", MATCH(B19, Chem!$1:$1, 0))</f>
        <v>80</v>
      </c>
      <c r="D19" s="372" cm="1">
        <f t="array" aca="1" ref="D19" ca="1">IF(C19 = "", "", INDIRECT("Chem!" &amp;ADDRESS(8, C19)))</f>
        <v>156.69999999999999</v>
      </c>
      <c r="E19" s="1175" cm="1">
        <f t="array" aca="1" ref="E19" ca="1">IF(C19 = "", "", INDIRECT("Chem!" &amp;ADDRESS(149, C19)))</f>
        <v>11.5</v>
      </c>
      <c r="F19" s="372" cm="1">
        <f t="array" aca="1" ref="F19" ca="1">IF(C19 = "", "", INDIRECT("Chem!" &amp;ADDRESS(38, C19)))</f>
        <v>360.4</v>
      </c>
      <c r="G19" s="1175" cm="1">
        <f t="array" aca="1" ref="G19" ca="1">IF(C19 = "", "", INDIRECT("Chem!" &amp;ADDRESS(155, C19)))</f>
        <v>9</v>
      </c>
      <c r="H19" s="1181" cm="1">
        <f t="array" aca="1" ref="H19" ca="1">IF(C19 = "", "", INDIRECT("Chem!" &amp;ADDRESS(101, C19)))</f>
        <v>3.3246573377885946</v>
      </c>
      <c r="I19" s="1174"/>
      <c r="BA19" s="6"/>
    </row>
    <row r="20" spans="1:54" x14ac:dyDescent="0.2">
      <c r="A20" s="1168">
        <f t="shared" si="0"/>
        <v>15</v>
      </c>
      <c r="B20" s="1179" t="str">
        <f>IFERROR(INDEX(Chem!$1:$1, MATCH(A20, Chem!$1:$1, 0) - 2), "")</f>
        <v>LMO-G (Power)</v>
      </c>
      <c r="C20" s="489">
        <f>IF(B20="", "", MATCH(B20, Chem!$1:$1, 0))</f>
        <v>85</v>
      </c>
      <c r="D20" s="372" cm="1">
        <f t="array" aca="1" ref="D20" ca="1">IF(C20 = "", "", INDIRECT("Chem!" &amp;ADDRESS(8, C20)))</f>
        <v>118.6</v>
      </c>
      <c r="E20" s="1175" cm="1">
        <f t="array" aca="1" ref="E20" ca="1">IF(C20 = "", "", INDIRECT("Chem!" &amp;ADDRESS(149, C20)))</f>
        <v>11</v>
      </c>
      <c r="F20" s="372" cm="1">
        <f t="array" aca="1" ref="F20" ca="1">IF(C20 = "", "", INDIRECT("Chem!" &amp;ADDRESS(38, C20)))</f>
        <v>360.4</v>
      </c>
      <c r="G20" s="1175" cm="1">
        <f t="array" aca="1" ref="G20" ca="1">IF(C20 = "", "", INDIRECT("Chem!" &amp;ADDRESS(155, C20)))</f>
        <v>9</v>
      </c>
      <c r="H20" s="1181" cm="1">
        <f t="array" aca="1" ref="H20" ca="1">IF(C20 = "", "", INDIRECT("Chem!" &amp;ADDRESS(101, C20)))</f>
        <v>3.9556693041665034</v>
      </c>
      <c r="I20" s="1174"/>
      <c r="BA20" s="6" t="s">
        <v>103</v>
      </c>
      <c r="BB20">
        <v>1</v>
      </c>
    </row>
    <row r="21" spans="1:54" x14ac:dyDescent="0.2">
      <c r="A21" s="1168">
        <f t="shared" si="0"/>
        <v>16</v>
      </c>
      <c r="B21" s="1179" t="str">
        <f>IFERROR(INDEX(Chem!$1:$1, MATCH(A21, Chem!$1:$1, 0) - 2), "")</f>
        <v>LMO-G (Energy)</v>
      </c>
      <c r="C21" s="489">
        <f>IF(B21="", "", MATCH(B21, Chem!$1:$1, 0))</f>
        <v>90</v>
      </c>
      <c r="D21" s="372" cm="1">
        <f t="array" aca="1" ref="D21" ca="1">IF(C21 = "", "", INDIRECT("Chem!" &amp;ADDRESS(8, C21)))</f>
        <v>118.6</v>
      </c>
      <c r="E21" s="1175" cm="1">
        <f t="array" aca="1" ref="E21" ca="1">IF(C21 = "", "", INDIRECT("Chem!" &amp;ADDRESS(149, C21)))</f>
        <v>11</v>
      </c>
      <c r="F21" s="372" cm="1">
        <f t="array" aca="1" ref="F21" ca="1">IF(C21 = "", "", INDIRECT("Chem!" &amp;ADDRESS(38, C21)))</f>
        <v>360.4</v>
      </c>
      <c r="G21" s="1175" cm="1">
        <f t="array" aca="1" ref="G21" ca="1">IF(C21 = "", "", INDIRECT("Chem!" &amp;ADDRESS(155, C21)))</f>
        <v>9</v>
      </c>
      <c r="H21" s="1181" cm="1">
        <f t="array" aca="1" ref="H21" ca="1">IF(C21 = "", "", INDIRECT("Chem!" &amp;ADDRESS(101, C21)))</f>
        <v>3.9556693041665034</v>
      </c>
      <c r="I21" s="1174"/>
      <c r="BA21" s="6" t="s">
        <v>2243</v>
      </c>
      <c r="BB21">
        <v>2</v>
      </c>
    </row>
    <row r="22" spans="1:54" x14ac:dyDescent="0.2">
      <c r="A22" s="1168">
        <f t="shared" si="0"/>
        <v>17</v>
      </c>
      <c r="B22" s="1179" t="str">
        <f>IFERROR(INDEX(Chem!$1:$1, MATCH(A22, Chem!$1:$1, 0) - 2), "")</f>
        <v>50%/50% NMC532/LMO - G</v>
      </c>
      <c r="C22" s="489">
        <f>IF(B22="", "", MATCH(B22, Chem!$1:$1, 0))</f>
        <v>95</v>
      </c>
      <c r="D22" s="372" cm="1">
        <f t="array" aca="1" ref="D22" ca="1">IF(C22 = "", "", INDIRECT("Chem!" &amp;ADDRESS(8, C22)))</f>
        <v>152.85</v>
      </c>
      <c r="E22" s="1175" cm="1">
        <f t="array" aca="1" ref="E22" ca="1">IF(C22 = "", "", INDIRECT("Chem!" &amp;ADDRESS(149, C22)))</f>
        <v>21</v>
      </c>
      <c r="F22" s="372" cm="1">
        <f t="array" aca="1" ref="F22" ca="1">IF(C22 = "", "", INDIRECT("Chem!" &amp;ADDRESS(38, C22)))</f>
        <v>360.4</v>
      </c>
      <c r="G22" s="1175" cm="1">
        <f t="array" aca="1" ref="G22" ca="1">IF(C22 = "", "", INDIRECT("Chem!" &amp;ADDRESS(155, C22)))</f>
        <v>9</v>
      </c>
      <c r="H22" s="1181" cm="1">
        <f t="array" aca="1" ref="H22" ca="1">IF(C22 = "", "", INDIRECT("Chem!" &amp;ADDRESS(101, C22)))</f>
        <v>3.8301666855846319</v>
      </c>
      <c r="I22" s="1174"/>
      <c r="BA22" s="6" t="s">
        <v>2244</v>
      </c>
      <c r="BB22">
        <v>3</v>
      </c>
    </row>
    <row r="23" spans="1:54" x14ac:dyDescent="0.2">
      <c r="A23" s="1168">
        <f t="shared" si="0"/>
        <v>18</v>
      </c>
      <c r="B23" s="1179" t="str">
        <f>IFERROR(INDEX(Chem!$1:$1, MATCH(A23, Chem!$1:$1, 0) - 2), "")</f>
        <v>LMO-LTO (Power)</v>
      </c>
      <c r="C23" s="489">
        <f>IF(B23="", "", MATCH(B23, Chem!$1:$1, 0))</f>
        <v>100</v>
      </c>
      <c r="D23" s="372" cm="1">
        <f t="array" aca="1" ref="D23" ca="1">IF(C23 = "", "", INDIRECT("Chem!" &amp;ADDRESS(8, C23)))</f>
        <v>118.6</v>
      </c>
      <c r="E23" s="1175" cm="1">
        <f t="array" aca="1" ref="E23" ca="1">IF(C23 = "", "", INDIRECT("Chem!" &amp;ADDRESS(149, C23)))</f>
        <v>11</v>
      </c>
      <c r="F23" s="372" cm="1">
        <f t="array" aca="1" ref="F23" ca="1">IF(C23 = "", "", INDIRECT("Chem!" &amp;ADDRESS(38, C23)))</f>
        <v>164.8</v>
      </c>
      <c r="G23" s="1175" cm="1">
        <f t="array" aca="1" ref="G23" ca="1">IF(C23 = "", "", INDIRECT("Chem!" &amp;ADDRESS(155, C23)))</f>
        <v>15</v>
      </c>
      <c r="H23" s="1181" cm="1">
        <f t="array" aca="1" ref="H23" ca="1">IF(C23 = "", "", INDIRECT("Chem!" &amp;ADDRESS(101, C23)))</f>
        <v>2.5125901866218605</v>
      </c>
      <c r="I23" s="1174"/>
      <c r="BA23" s="6"/>
    </row>
    <row r="24" spans="1:54" x14ac:dyDescent="0.2">
      <c r="A24" s="1168">
        <f t="shared" si="0"/>
        <v>19</v>
      </c>
      <c r="B24" s="1179" t="str">
        <f>IFERROR(INDEX(Chem!$1:$1, MATCH(A24, Chem!$1:$1, 0) - 2), "")</f>
        <v>LMO-LTO (Energy)</v>
      </c>
      <c r="C24" s="489">
        <f>IF(B24="", "", MATCH(B24, Chem!$1:$1, 0))</f>
        <v>105</v>
      </c>
      <c r="D24" s="372" cm="1">
        <f t="array" aca="1" ref="D24" ca="1">IF(C24 = "", "", INDIRECT("Chem!" &amp;ADDRESS(8, C24)))</f>
        <v>118.6</v>
      </c>
      <c r="E24" s="1175" cm="1">
        <f t="array" aca="1" ref="E24" ca="1">IF(C24 = "", "", INDIRECT("Chem!" &amp;ADDRESS(149, C24)))</f>
        <v>11</v>
      </c>
      <c r="F24" s="372" cm="1">
        <f t="array" aca="1" ref="F24" ca="1">IF(C24 = "", "", INDIRECT("Chem!" &amp;ADDRESS(38, C24)))</f>
        <v>164.8</v>
      </c>
      <c r="G24" s="1175" cm="1">
        <f t="array" aca="1" ref="G24" ca="1">IF(C24 = "", "", INDIRECT("Chem!" &amp;ADDRESS(155, C24)))</f>
        <v>15</v>
      </c>
      <c r="H24" s="1181" cm="1">
        <f t="array" aca="1" ref="H24" ca="1">IF(C24 = "", "", INDIRECT("Chem!" &amp;ADDRESS(101, C24)))</f>
        <v>2.5125901866218605</v>
      </c>
      <c r="I24" s="1174"/>
      <c r="BA24" s="6" t="s">
        <v>2245</v>
      </c>
    </row>
    <row r="25" spans="1:54" x14ac:dyDescent="0.2">
      <c r="A25" s="1168" t="str">
        <f t="shared" si="0"/>
        <v/>
      </c>
      <c r="B25" s="1179" t="str">
        <f>IFERROR(INDEX(Chem!$1:$1, MATCH(A25, Chem!$1:$1, 0) - 2), "")</f>
        <v/>
      </c>
      <c r="C25" s="489" t="str">
        <f>IF(B25="", "", MATCH(B25, Chem!$1:$1, 0))</f>
        <v/>
      </c>
      <c r="D25" s="180" t="str" cm="1">
        <f t="array" aca="1" ref="D25" ca="1">IF(C25 = "", "", INDIRECT("Chem!" &amp;ADDRESS(8, C25)))</f>
        <v/>
      </c>
      <c r="E25" s="1164" t="str" cm="1">
        <f t="array" aca="1" ref="E25" ca="1">IF(C25 = "", "", INDIRECT("Chem!" &amp;ADDRESS(151, C25)))</f>
        <v/>
      </c>
      <c r="F25" s="372" t="str" cm="1">
        <f t="array" aca="1" ref="F25" ca="1">IF(C25 = "", "", INDIRECT("Chem!" &amp;ADDRESS(40, C25)))</f>
        <v/>
      </c>
      <c r="G25" s="1175" t="str" cm="1">
        <f t="array" aca="1" ref="G25" ca="1">IF(C25 = "", "", INDIRECT("Chem!" &amp;ADDRESS(157, C25)))</f>
        <v/>
      </c>
      <c r="H25" s="1181" t="str" cm="1">
        <f t="array" aca="1" ref="H25" ca="1">IF(C25 = "", "", INDIRECT("Chem!" &amp;ADDRESS(103, C25)))</f>
        <v/>
      </c>
      <c r="I25" s="184"/>
      <c r="BA25" s="6"/>
    </row>
    <row r="26" spans="1:54" x14ac:dyDescent="0.2">
      <c r="A26" s="1168" t="str">
        <f t="shared" si="0"/>
        <v/>
      </c>
      <c r="B26" s="1179" t="str">
        <f>IFERROR(INDEX(Chem!$1:$1, MATCH(A26, Chem!$1:$1, 0) - 2), "")</f>
        <v/>
      </c>
      <c r="C26" s="489" t="str">
        <f>IF(B26="", "", MATCH(B26, Chem!$1:$1, 0))</f>
        <v/>
      </c>
      <c r="D26" s="180" t="str" cm="1">
        <f t="array" aca="1" ref="D26" ca="1">IF(C26 = "", "", INDIRECT("Chem!" &amp;ADDRESS(8, C26)))</f>
        <v/>
      </c>
      <c r="E26" s="1164" t="str" cm="1">
        <f t="array" aca="1" ref="E26" ca="1">IF(C26 = "", "", INDIRECT("Chem!" &amp;ADDRESS(151, C26)))</f>
        <v/>
      </c>
      <c r="F26" s="372" t="str" cm="1">
        <f t="array" aca="1" ref="F26" ca="1">IF(C26 = "", "", INDIRECT("Chem!" &amp;ADDRESS(40, C26)))</f>
        <v/>
      </c>
      <c r="G26" s="1175" t="str" cm="1">
        <f t="array" aca="1" ref="G26" ca="1">IF(C26 = "", "", INDIRECT("Chem!" &amp;ADDRESS(157, C26)))</f>
        <v/>
      </c>
      <c r="H26" s="1181" t="str" cm="1">
        <f t="array" aca="1" ref="H26" ca="1">IF(C26 = "", "", INDIRECT("Chem!" &amp;ADDRESS(103, C26)))</f>
        <v/>
      </c>
      <c r="I26" s="184"/>
      <c r="BA26" s="6" t="s">
        <v>2246</v>
      </c>
    </row>
    <row r="27" spans="1:54" x14ac:dyDescent="0.2">
      <c r="A27" s="1168" t="str">
        <f t="shared" si="0"/>
        <v/>
      </c>
      <c r="B27" s="1179" t="str">
        <f>IFERROR(INDEX(Chem!$1:$1, MATCH(A27, Chem!$1:$1, 0) - 2), "")</f>
        <v/>
      </c>
      <c r="C27" s="489" t="str">
        <f>IF(B27="", "", MATCH(B27, Chem!$1:$1, 0))</f>
        <v/>
      </c>
      <c r="D27" s="180" t="str" cm="1">
        <f t="array" aca="1" ref="D27" ca="1">IF(C27 = "", "", INDIRECT("Chem!" &amp;ADDRESS(8, C27)))</f>
        <v/>
      </c>
      <c r="E27" s="1164" t="str" cm="1">
        <f t="array" aca="1" ref="E27" ca="1">IF(C27 = "", "", INDIRECT("Chem!" &amp;ADDRESS(151, C27)))</f>
        <v/>
      </c>
      <c r="F27" s="372" t="str" cm="1">
        <f t="array" aca="1" ref="F27" ca="1">IF(C27 = "", "", INDIRECT("Chem!" &amp;ADDRESS(40, C27)))</f>
        <v/>
      </c>
      <c r="G27" s="1175" t="str" cm="1">
        <f t="array" aca="1" ref="G27" ca="1">IF(C27 = "", "", INDIRECT("Chem!" &amp;ADDRESS(157, C27)))</f>
        <v/>
      </c>
      <c r="H27" s="1181" t="str" cm="1">
        <f t="array" aca="1" ref="H27" ca="1">IF(C27 = "", "", INDIRECT("Chem!" &amp;ADDRESS(103, C27)))</f>
        <v/>
      </c>
      <c r="I27" s="184"/>
      <c r="BA27" s="6" t="s">
        <v>2242</v>
      </c>
    </row>
    <row r="28" spans="1:54" x14ac:dyDescent="0.2">
      <c r="A28" s="1168" t="str">
        <f t="shared" si="0"/>
        <v/>
      </c>
      <c r="B28" s="1179" t="str">
        <f>IFERROR(INDEX(Chem!$1:$1, MATCH(A28, Chem!$1:$1, 0) - 2), "")</f>
        <v/>
      </c>
      <c r="C28" s="489" t="str">
        <f>IF(B28="", "", MATCH(B28, Chem!$1:$1, 0))</f>
        <v/>
      </c>
      <c r="D28" s="180" t="str" cm="1">
        <f t="array" aca="1" ref="D28" ca="1">IF(C28 = "", "", INDIRECT("Chem!" &amp;ADDRESS(8, C28)))</f>
        <v/>
      </c>
      <c r="E28" s="1164" t="str" cm="1">
        <f t="array" aca="1" ref="E28" ca="1">IF(C28 = "", "", INDIRECT("Chem!" &amp;ADDRESS(151, C28)))</f>
        <v/>
      </c>
      <c r="F28" s="372" t="str" cm="1">
        <f t="array" aca="1" ref="F28" ca="1">IF(C28 = "", "", INDIRECT("Chem!" &amp;ADDRESS(40, C28)))</f>
        <v/>
      </c>
      <c r="G28" s="1175" t="str" cm="1">
        <f t="array" aca="1" ref="G28" ca="1">IF(C28 = "", "", INDIRECT("Chem!" &amp;ADDRESS(157, C28)))</f>
        <v/>
      </c>
      <c r="H28" s="1181" t="str" cm="1">
        <f t="array" aca="1" ref="H28" ca="1">IF(C28 = "", "", INDIRECT("Chem!" &amp;ADDRESS(103, C28)))</f>
        <v/>
      </c>
      <c r="I28" s="184"/>
      <c r="BA28" s="6"/>
    </row>
    <row r="29" spans="1:54" x14ac:dyDescent="0.2">
      <c r="A29" s="1168" t="str">
        <f t="shared" si="0"/>
        <v/>
      </c>
      <c r="B29" s="1179" t="str">
        <f>IFERROR(INDEX(Chem!$1:$1, MATCH(A29, Chem!$1:$1, 0) - 2), "")</f>
        <v/>
      </c>
      <c r="C29" s="489" t="str">
        <f>IF(B29="", "", MATCH(B29, Chem!$1:$1, 0))</f>
        <v/>
      </c>
      <c r="D29" s="180" t="str" cm="1">
        <f t="array" aca="1" ref="D29" ca="1">IF(C29 = "", "", INDIRECT("Chem!" &amp;ADDRESS(8, C29)))</f>
        <v/>
      </c>
      <c r="E29" s="1164" t="str" cm="1">
        <f t="array" aca="1" ref="E29" ca="1">IF(C29 = "", "", INDIRECT("Chem!" &amp;ADDRESS(151, C29)))</f>
        <v/>
      </c>
      <c r="F29" s="372" t="str" cm="1">
        <f t="array" aca="1" ref="F29" ca="1">IF(C29 = "", "", INDIRECT("Chem!" &amp;ADDRESS(40, C29)))</f>
        <v/>
      </c>
      <c r="G29" s="1175" t="str" cm="1">
        <f t="array" aca="1" ref="G29" ca="1">IF(C29 = "", "", INDIRECT("Chem!" &amp;ADDRESS(157, C29)))</f>
        <v/>
      </c>
      <c r="H29" s="1181" t="str" cm="1">
        <f t="array" aca="1" ref="H29" ca="1">IF(C29 = "", "", INDIRECT("Chem!" &amp;ADDRESS(103, C29)))</f>
        <v/>
      </c>
      <c r="I29" s="184"/>
      <c r="BA29" s="6"/>
    </row>
    <row r="30" spans="1:54" x14ac:dyDescent="0.2">
      <c r="A30" s="1168" t="str">
        <f t="shared" si="0"/>
        <v/>
      </c>
      <c r="B30" s="1179" t="str">
        <f>IFERROR(INDEX(Chem!$1:$1, MATCH(A30, Chem!$1:$1, 0) - 2), "")</f>
        <v/>
      </c>
      <c r="C30" s="489" t="str">
        <f>IF(B30="", "", MATCH(B30, Chem!$1:$1, 0))</f>
        <v/>
      </c>
      <c r="D30" s="180" t="str" cm="1">
        <f t="array" aca="1" ref="D30" ca="1">IF(C30 = "", "", INDIRECT("Chem!" &amp;ADDRESS(8, C30)))</f>
        <v/>
      </c>
      <c r="E30" s="1164" t="str" cm="1">
        <f t="array" aca="1" ref="E30" ca="1">IF(C30 = "", "", INDIRECT("Chem!" &amp;ADDRESS(151, C30)))</f>
        <v/>
      </c>
      <c r="F30" s="372" t="str" cm="1">
        <f t="array" aca="1" ref="F30" ca="1">IF(C30 = "", "", INDIRECT("Chem!" &amp;ADDRESS(40, C30)))</f>
        <v/>
      </c>
      <c r="G30" s="1175" t="str" cm="1">
        <f t="array" aca="1" ref="G30" ca="1">IF(C30 = "", "", INDIRECT("Chem!" &amp;ADDRESS(157, C30)))</f>
        <v/>
      </c>
      <c r="H30" s="1181" t="str" cm="1">
        <f t="array" aca="1" ref="H30" ca="1">IF(C30 = "", "", INDIRECT("Chem!" &amp;ADDRESS(103, C30)))</f>
        <v/>
      </c>
      <c r="I30" s="184"/>
      <c r="BA30" s="6"/>
    </row>
    <row r="31" spans="1:54" ht="17" thickBot="1" x14ac:dyDescent="0.25">
      <c r="A31" s="1168" t="str">
        <f t="shared" si="0"/>
        <v/>
      </c>
      <c r="B31" s="1179" t="str">
        <f>IFERROR(INDEX(Chem!$1:$1, MATCH(A31, Chem!$1:$1, 0) - 2), "")</f>
        <v/>
      </c>
      <c r="C31" s="489" t="str">
        <f>IF(B31="", "", MATCH(B31, Chem!$1:$1, 0))</f>
        <v/>
      </c>
      <c r="D31" s="180" t="str" cm="1">
        <f t="array" aca="1" ref="D31" ca="1">IF(C31 = "", "", INDIRECT("Chem!" &amp;ADDRESS(8, C31)))</f>
        <v/>
      </c>
      <c r="E31" s="1164" t="str" cm="1">
        <f t="array" aca="1" ref="E31" ca="1">IF(C31 = "", "", INDIRECT("Chem!" &amp;ADDRESS(151, C31)))</f>
        <v/>
      </c>
      <c r="F31" s="372" t="str" cm="1">
        <f t="array" aca="1" ref="F31" ca="1">IF(C31 = "", "", INDIRECT("Chem!" &amp;ADDRESS(40, C31)))</f>
        <v/>
      </c>
      <c r="G31" s="1175" t="str" cm="1">
        <f t="array" aca="1" ref="G31" ca="1">IF(C31 = "", "", INDIRECT("Chem!" &amp;ADDRESS(157, C31)))</f>
        <v/>
      </c>
      <c r="H31" s="1181" t="str" cm="1">
        <f t="array" aca="1" ref="H31" ca="1">IF(C31 = "", "", INDIRECT("Chem!" &amp;ADDRESS(103, C31)))</f>
        <v/>
      </c>
      <c r="I31" s="184"/>
      <c r="BA31" s="6"/>
    </row>
    <row r="32" spans="1:54" x14ac:dyDescent="0.2">
      <c r="A32" s="1168" t="str">
        <f t="shared" si="0"/>
        <v/>
      </c>
      <c r="B32" s="1179" t="str">
        <f>IFERROR(INDEX(Chem!$1:$1, MATCH(A32, Chem!$1:$1, 0) - 2), "")</f>
        <v/>
      </c>
      <c r="C32" s="489" t="str">
        <f>IF(B32="", "", MATCH(B32, Chem!$1:$1, 0))</f>
        <v/>
      </c>
      <c r="D32" s="180" t="str" cm="1">
        <f t="array" aca="1" ref="D32" ca="1">IF(C32 = "", "", INDIRECT("Chem!" &amp;ADDRESS(8, C32)))</f>
        <v/>
      </c>
      <c r="E32" s="1164" t="str" cm="1">
        <f t="array" aca="1" ref="E32" ca="1">IF(C32 = "", "", INDIRECT("Chem!" &amp;ADDRESS(151, C32)))</f>
        <v/>
      </c>
      <c r="F32" s="372" t="str" cm="1">
        <f t="array" aca="1" ref="F32" ca="1">IF(C32 = "", "", INDIRECT("Chem!" &amp;ADDRESS(40, C32)))</f>
        <v/>
      </c>
      <c r="G32" s="1175" t="str" cm="1">
        <f t="array" aca="1" ref="G32" ca="1">IF(C32 = "", "", INDIRECT("Chem!" &amp;ADDRESS(157, C32)))</f>
        <v/>
      </c>
      <c r="H32" s="1181" t="str" cm="1">
        <f t="array" aca="1" ref="H32" ca="1">IF(C32 = "", "", INDIRECT("Chem!" &amp;ADDRESS(103, C32)))</f>
        <v/>
      </c>
      <c r="I32" s="184"/>
      <c r="BA32" s="487" t="s">
        <v>2247</v>
      </c>
      <c r="BB32" s="488" t="s">
        <v>2248</v>
      </c>
    </row>
    <row r="33" spans="1:54" x14ac:dyDescent="0.2">
      <c r="A33" s="1168" t="str">
        <f t="shared" si="0"/>
        <v/>
      </c>
      <c r="B33" s="1179" t="str">
        <f>IFERROR(INDEX(Chem!$1:$1, MATCH(A33, Chem!$1:$1, 0) - 2), "")</f>
        <v/>
      </c>
      <c r="C33" s="489" t="str">
        <f>IF(B33="", "", MATCH(B33, Chem!$1:$1, 0))</f>
        <v/>
      </c>
      <c r="D33" s="180" t="str" cm="1">
        <f t="array" aca="1" ref="D33" ca="1">IF(C33 = "", "", INDIRECT("Chem!" &amp;ADDRESS(8, C33)))</f>
        <v/>
      </c>
      <c r="E33" s="1164" t="str" cm="1">
        <f t="array" aca="1" ref="E33" ca="1">IF(C33 = "", "", INDIRECT("Chem!" &amp;ADDRESS(151, C33)))</f>
        <v/>
      </c>
      <c r="F33" s="372" t="str" cm="1">
        <f t="array" aca="1" ref="F33" ca="1">IF(C33 = "", "", INDIRECT("Chem!" &amp;ADDRESS(40, C33)))</f>
        <v/>
      </c>
      <c r="G33" s="1175" t="str" cm="1">
        <f t="array" aca="1" ref="G33" ca="1">IF(C33 = "", "", INDIRECT("Chem!" &amp;ADDRESS(157, C33)))</f>
        <v/>
      </c>
      <c r="H33" s="1181" t="str" cm="1">
        <f t="array" aca="1" ref="H33" ca="1">IF(C33 = "", "", INDIRECT("Chem!" &amp;ADDRESS(103, C33)))</f>
        <v/>
      </c>
      <c r="I33" s="184"/>
      <c r="BA33" s="489">
        <v>0</v>
      </c>
      <c r="BB33" s="184">
        <v>1</v>
      </c>
    </row>
    <row r="34" spans="1:54" x14ac:dyDescent="0.2">
      <c r="A34" s="1168" t="str">
        <f t="shared" si="0"/>
        <v/>
      </c>
      <c r="B34" s="1179" t="str">
        <f>IFERROR(INDEX(Chem!$1:$1, MATCH(A34, Chem!$1:$1, 0) - 2), "")</f>
        <v/>
      </c>
      <c r="C34" s="489" t="str">
        <f>IF(B34="", "", MATCH(B34, Chem!$1:$1, 0))</f>
        <v/>
      </c>
      <c r="D34" s="180" t="str" cm="1">
        <f t="array" aca="1" ref="D34" ca="1">IF(C34 = "", "", INDIRECT("Chem!" &amp;ADDRESS(8, C34)))</f>
        <v/>
      </c>
      <c r="E34" s="1164" t="str" cm="1">
        <f t="array" aca="1" ref="E34" ca="1">IF(C34 = "", "", INDIRECT("Chem!" &amp;ADDRESS(151, C34)))</f>
        <v/>
      </c>
      <c r="F34" s="372" t="str" cm="1">
        <f t="array" aca="1" ref="F34" ca="1">IF(C34 = "", "", INDIRECT("Chem!" &amp;ADDRESS(40, C34)))</f>
        <v/>
      </c>
      <c r="G34" s="1175" t="str" cm="1">
        <f t="array" aca="1" ref="G34" ca="1">IF(C34 = "", "", INDIRECT("Chem!" &amp;ADDRESS(157, C34)))</f>
        <v/>
      </c>
      <c r="H34" s="1181" t="str" cm="1">
        <f t="array" aca="1" ref="H34" ca="1">IF(C34 = "", "", INDIRECT("Chem!" &amp;ADDRESS(103, C34)))</f>
        <v/>
      </c>
      <c r="I34" s="184"/>
      <c r="BA34" s="489">
        <v>10</v>
      </c>
      <c r="BB34" s="184">
        <v>2</v>
      </c>
    </row>
    <row r="35" spans="1:54" x14ac:dyDescent="0.2">
      <c r="A35" s="1168" t="str">
        <f t="shared" si="0"/>
        <v/>
      </c>
      <c r="B35" s="1179" t="str">
        <f>IFERROR(INDEX(Chem!$1:$1, MATCH(A35, Chem!$1:$1, 0) - 2), "")</f>
        <v/>
      </c>
      <c r="C35" s="489" t="str">
        <f>IF(B35="", "", MATCH(B35, Chem!$1:$1, 0))</f>
        <v/>
      </c>
      <c r="D35" s="180" t="str" cm="1">
        <f t="array" aca="1" ref="D35" ca="1">IF(C35 = "", "", INDIRECT("Chem!" &amp;ADDRESS(8, C35)))</f>
        <v/>
      </c>
      <c r="E35" s="1164" t="str" cm="1">
        <f t="array" aca="1" ref="E35" ca="1">IF(C35 = "", "", INDIRECT("Chem!" &amp;ADDRESS(151, C35)))</f>
        <v/>
      </c>
      <c r="F35" s="372" t="str" cm="1">
        <f t="array" aca="1" ref="F35" ca="1">IF(C35 = "", "", INDIRECT("Chem!" &amp;ADDRESS(40, C35)))</f>
        <v/>
      </c>
      <c r="G35" s="1175" t="str" cm="1">
        <f t="array" aca="1" ref="G35" ca="1">IF(C35 = "", "", INDIRECT("Chem!" &amp;ADDRESS(157, C35)))</f>
        <v/>
      </c>
      <c r="H35" s="1181" t="str" cm="1">
        <f t="array" aca="1" ref="H35" ca="1">IF(C35 = "", "", INDIRECT("Chem!" &amp;ADDRESS(103, C35)))</f>
        <v/>
      </c>
      <c r="I35" s="184"/>
      <c r="BA35" s="489">
        <v>20</v>
      </c>
      <c r="BB35" s="184">
        <v>3</v>
      </c>
    </row>
    <row r="36" spans="1:54" x14ac:dyDescent="0.2">
      <c r="A36" s="1168" t="str">
        <f t="shared" si="0"/>
        <v/>
      </c>
      <c r="B36" s="1179" t="str">
        <f>IFERROR(INDEX(Chem!$1:$1, MATCH(A36, Chem!$1:$1, 0) - 2), "")</f>
        <v/>
      </c>
      <c r="C36" s="489" t="str">
        <f>IF(B36="", "", MATCH(B36, Chem!$1:$1, 0))</f>
        <v/>
      </c>
      <c r="D36" s="180" t="str" cm="1">
        <f t="array" aca="1" ref="D36" ca="1">IF(C36 = "", "", INDIRECT("Chem!" &amp;ADDRESS(8, C36)))</f>
        <v/>
      </c>
      <c r="E36" s="1164" t="str" cm="1">
        <f t="array" aca="1" ref="E36" ca="1">IF(C36 = "", "", INDIRECT("Chem!" &amp;ADDRESS(151, C36)))</f>
        <v/>
      </c>
      <c r="F36" s="372" t="str" cm="1">
        <f t="array" aca="1" ref="F36" ca="1">IF(C36 = "", "", INDIRECT("Chem!" &amp;ADDRESS(40, C36)))</f>
        <v/>
      </c>
      <c r="G36" s="1175" t="str" cm="1">
        <f t="array" aca="1" ref="G36" ca="1">IF(C36 = "", "", INDIRECT("Chem!" &amp;ADDRESS(157, C36)))</f>
        <v/>
      </c>
      <c r="H36" s="1181" t="str" cm="1">
        <f t="array" aca="1" ref="H36" ca="1">IF(C36 = "", "", INDIRECT("Chem!" &amp;ADDRESS(103, C36)))</f>
        <v/>
      </c>
      <c r="I36" s="184"/>
      <c r="BA36" s="489">
        <v>30</v>
      </c>
      <c r="BB36" s="184">
        <v>4</v>
      </c>
    </row>
    <row r="37" spans="1:54" x14ac:dyDescent="0.2">
      <c r="A37" s="1168" t="str">
        <f t="shared" si="0"/>
        <v/>
      </c>
      <c r="B37" s="1179" t="str">
        <f>IFERROR(INDEX(Chem!$1:$1, MATCH(A37, Chem!$1:$1, 0) - 2), "")</f>
        <v/>
      </c>
      <c r="C37" s="489" t="str">
        <f>IF(B37="", "", MATCH(B37, Chem!$1:$1, 0))</f>
        <v/>
      </c>
      <c r="D37" s="180" t="str" cm="1">
        <f t="array" aca="1" ref="D37" ca="1">IF(C37 = "", "", INDIRECT("Chem!" &amp;ADDRESS(8, C37)))</f>
        <v/>
      </c>
      <c r="E37" s="1164" t="str" cm="1">
        <f t="array" aca="1" ref="E37" ca="1">IF(C37 = "", "", INDIRECT("Chem!" &amp;ADDRESS(151, C37)))</f>
        <v/>
      </c>
      <c r="F37" s="372" t="str" cm="1">
        <f t="array" aca="1" ref="F37" ca="1">IF(C37 = "", "", INDIRECT("Chem!" &amp;ADDRESS(40, C37)))</f>
        <v/>
      </c>
      <c r="G37" s="1175" t="str" cm="1">
        <f t="array" aca="1" ref="G37" ca="1">IF(C37 = "", "", INDIRECT("Chem!" &amp;ADDRESS(157, C37)))</f>
        <v/>
      </c>
      <c r="H37" s="1181" t="str" cm="1">
        <f t="array" aca="1" ref="H37" ca="1">IF(C37 = "", "", INDIRECT("Chem!" &amp;ADDRESS(103, C37)))</f>
        <v/>
      </c>
      <c r="I37" s="184"/>
      <c r="BA37" s="489">
        <v>40</v>
      </c>
      <c r="BB37" s="184">
        <v>5</v>
      </c>
    </row>
    <row r="38" spans="1:54" x14ac:dyDescent="0.2">
      <c r="A38" s="1168" t="str">
        <f t="shared" si="0"/>
        <v/>
      </c>
      <c r="B38" s="1179" t="str">
        <f>IFERROR(INDEX(Chem!$1:$1, MATCH(A38, Chem!$1:$1, 0) - 2), "")</f>
        <v/>
      </c>
      <c r="C38" s="489" t="str">
        <f>IF(B38="", "", MATCH(B38, Chem!$1:$1, 0))</f>
        <v/>
      </c>
      <c r="D38" s="180" t="str" cm="1">
        <f t="array" aca="1" ref="D38" ca="1">IF(C38 = "", "", INDIRECT("Chem!" &amp;ADDRESS(8, C38)))</f>
        <v/>
      </c>
      <c r="E38" s="1164" t="str" cm="1">
        <f t="array" aca="1" ref="E38" ca="1">IF(C38 = "", "", INDIRECT("Chem!" &amp;ADDRESS(151, C38)))</f>
        <v/>
      </c>
      <c r="F38" s="372" t="str" cm="1">
        <f t="array" aca="1" ref="F38" ca="1">IF(C38 = "", "", INDIRECT("Chem!" &amp;ADDRESS(40, C38)))</f>
        <v/>
      </c>
      <c r="G38" s="1175" t="str" cm="1">
        <f t="array" aca="1" ref="G38" ca="1">IF(C38 = "", "", INDIRECT("Chem!" &amp;ADDRESS(157, C38)))</f>
        <v/>
      </c>
      <c r="H38" s="1181" t="str" cm="1">
        <f t="array" aca="1" ref="H38" ca="1">IF(C38 = "", "", INDIRECT("Chem!" &amp;ADDRESS(103, C38)))</f>
        <v/>
      </c>
      <c r="I38" s="184"/>
      <c r="BA38" s="489">
        <v>50</v>
      </c>
      <c r="BB38" s="184">
        <v>6</v>
      </c>
    </row>
    <row r="39" spans="1:54" x14ac:dyDescent="0.2">
      <c r="A39" s="1168" t="str">
        <f t="shared" ref="A39:A58" si="1">IF(OR(A38 = "", $B$4 = A38), "", A38 + 1)</f>
        <v/>
      </c>
      <c r="B39" s="1179" t="str">
        <f>IFERROR(INDEX(Chem!$1:$1, MATCH(A39, Chem!$1:$1, 0) - 2), "")</f>
        <v/>
      </c>
      <c r="C39" s="489" t="str">
        <f>IF(B39="", "", MATCH(B39, Chem!$1:$1, 0))</f>
        <v/>
      </c>
      <c r="D39" s="180" t="str" cm="1">
        <f t="array" aca="1" ref="D39" ca="1">IF(C39 = "", "", INDIRECT("Chem!" &amp;ADDRESS(8, C39)))</f>
        <v/>
      </c>
      <c r="E39" s="1164" t="str" cm="1">
        <f t="array" aca="1" ref="E39" ca="1">IF(C39 = "", "", INDIRECT("Chem!" &amp;ADDRESS(151, C39)))</f>
        <v/>
      </c>
      <c r="F39" s="372" t="str" cm="1">
        <f t="array" aca="1" ref="F39" ca="1">IF(C39 = "", "", INDIRECT("Chem!" &amp;ADDRESS(40, C39)))</f>
        <v/>
      </c>
      <c r="G39" s="1175" t="str" cm="1">
        <f t="array" aca="1" ref="G39" ca="1">IF(C39 = "", "", INDIRECT("Chem!" &amp;ADDRESS(157, C39)))</f>
        <v/>
      </c>
      <c r="H39" s="1181" t="str" cm="1">
        <f t="array" aca="1" ref="H39" ca="1">IF(C39 = "", "", INDIRECT("Chem!" &amp;ADDRESS(103, C39)))</f>
        <v/>
      </c>
      <c r="I39" s="184"/>
      <c r="BA39" s="489">
        <v>60</v>
      </c>
      <c r="BB39" s="184">
        <v>7</v>
      </c>
    </row>
    <row r="40" spans="1:54" x14ac:dyDescent="0.2">
      <c r="A40" s="1168" t="str">
        <f t="shared" si="1"/>
        <v/>
      </c>
      <c r="B40" s="1179" t="str">
        <f>IFERROR(INDEX(Chem!$1:$1, MATCH(A40, Chem!$1:$1, 0) - 2), "")</f>
        <v/>
      </c>
      <c r="C40" s="489" t="str">
        <f>IF(B40="", "", MATCH(B40, Chem!$1:$1, 0))</f>
        <v/>
      </c>
      <c r="D40" s="180" t="str" cm="1">
        <f t="array" aca="1" ref="D40" ca="1">IF(C40 = "", "", INDIRECT("Chem!" &amp;ADDRESS(8, C40)))</f>
        <v/>
      </c>
      <c r="E40" s="1164" t="str" cm="1">
        <f t="array" aca="1" ref="E40" ca="1">IF(C40 = "", "", INDIRECT("Chem!" &amp;ADDRESS(151, C40)))</f>
        <v/>
      </c>
      <c r="F40" s="372" t="str" cm="1">
        <f t="array" aca="1" ref="F40" ca="1">IF(C40 = "", "", INDIRECT("Chem!" &amp;ADDRESS(40, C40)))</f>
        <v/>
      </c>
      <c r="G40" s="1175" t="str" cm="1">
        <f t="array" aca="1" ref="G40" ca="1">IF(C40 = "", "", INDIRECT("Chem!" &amp;ADDRESS(157, C40)))</f>
        <v/>
      </c>
      <c r="H40" s="1181" t="str" cm="1">
        <f t="array" aca="1" ref="H40" ca="1">IF(C40 = "", "", INDIRECT("Chem!" &amp;ADDRESS(103, C40)))</f>
        <v/>
      </c>
      <c r="I40" s="184"/>
      <c r="BA40" s="489">
        <v>70</v>
      </c>
      <c r="BB40" s="184">
        <v>8</v>
      </c>
    </row>
    <row r="41" spans="1:54" x14ac:dyDescent="0.2">
      <c r="A41" s="1168" t="str">
        <f t="shared" si="1"/>
        <v/>
      </c>
      <c r="B41" s="1179" t="str">
        <f>IFERROR(INDEX(Chem!$1:$1, MATCH(A41, Chem!$1:$1, 0) - 2), "")</f>
        <v/>
      </c>
      <c r="C41" s="489" t="str">
        <f>IF(B41="", "", MATCH(B41, Chem!$1:$1, 0))</f>
        <v/>
      </c>
      <c r="D41" s="180" t="str" cm="1">
        <f t="array" aca="1" ref="D41" ca="1">IF(C41 = "", "", INDIRECT("Chem!" &amp;ADDRESS(8, C41)))</f>
        <v/>
      </c>
      <c r="E41" s="1164" t="str" cm="1">
        <f t="array" aca="1" ref="E41" ca="1">IF(C41 = "", "", INDIRECT("Chem!" &amp;ADDRESS(151, C41)))</f>
        <v/>
      </c>
      <c r="F41" s="372" t="str" cm="1">
        <f t="array" aca="1" ref="F41" ca="1">IF(C41 = "", "", INDIRECT("Chem!" &amp;ADDRESS(40, C41)))</f>
        <v/>
      </c>
      <c r="G41" s="1175" t="str" cm="1">
        <f t="array" aca="1" ref="G41" ca="1">IF(C41 = "", "", INDIRECT("Chem!" &amp;ADDRESS(157, C41)))</f>
        <v/>
      </c>
      <c r="H41" s="1181" t="str" cm="1">
        <f t="array" aca="1" ref="H41" ca="1">IF(C41 = "", "", INDIRECT("Chem!" &amp;ADDRESS(103, C41)))</f>
        <v/>
      </c>
      <c r="I41" s="184"/>
      <c r="BA41" s="489">
        <v>80</v>
      </c>
      <c r="BB41" s="184">
        <v>9</v>
      </c>
    </row>
    <row r="42" spans="1:54" x14ac:dyDescent="0.2">
      <c r="A42" s="1168" t="str">
        <f t="shared" si="1"/>
        <v/>
      </c>
      <c r="B42" s="1179" t="str">
        <f>IFERROR(INDEX(Chem!$1:$1, MATCH(A42, Chem!$1:$1, 0) - 2), "")</f>
        <v/>
      </c>
      <c r="C42" s="489" t="str">
        <f>IF(B42="", "", MATCH(B42, Chem!$1:$1, 0))</f>
        <v/>
      </c>
      <c r="D42" s="180" t="str" cm="1">
        <f t="array" aca="1" ref="D42" ca="1">IF(C42 = "", "", INDIRECT("Chem!" &amp;ADDRESS(8, C42)))</f>
        <v/>
      </c>
      <c r="E42" s="1164" t="str" cm="1">
        <f t="array" aca="1" ref="E42" ca="1">IF(C42 = "", "", INDIRECT("Chem!" &amp;ADDRESS(151, C42)))</f>
        <v/>
      </c>
      <c r="F42" s="372" t="str" cm="1">
        <f t="array" aca="1" ref="F42" ca="1">IF(C42 = "", "", INDIRECT("Chem!" &amp;ADDRESS(40, C42)))</f>
        <v/>
      </c>
      <c r="G42" s="1175" t="str" cm="1">
        <f t="array" aca="1" ref="G42" ca="1">IF(C42 = "", "", INDIRECT("Chem!" &amp;ADDRESS(157, C42)))</f>
        <v/>
      </c>
      <c r="H42" s="1181" t="str" cm="1">
        <f t="array" aca="1" ref="H42" ca="1">IF(C42 = "", "", INDIRECT("Chem!" &amp;ADDRESS(103, C42)))</f>
        <v/>
      </c>
      <c r="I42" s="184"/>
      <c r="BA42" s="489">
        <v>90</v>
      </c>
      <c r="BB42" s="184">
        <v>10</v>
      </c>
    </row>
    <row r="43" spans="1:54" ht="17" thickBot="1" x14ac:dyDescent="0.25">
      <c r="A43" s="1168" t="str">
        <f t="shared" si="1"/>
        <v/>
      </c>
      <c r="B43" s="1179" t="str">
        <f>IFERROR(INDEX(Chem!$1:$1, MATCH(A43, Chem!$1:$1, 0) - 2), "")</f>
        <v/>
      </c>
      <c r="C43" s="489" t="str">
        <f>IF(B43="", "", MATCH(B43, Chem!$1:$1, 0))</f>
        <v/>
      </c>
      <c r="D43" s="180" t="str" cm="1">
        <f t="array" aca="1" ref="D43" ca="1">IF(C43 = "", "", INDIRECT("Chem!" &amp;ADDRESS(8, C43)))</f>
        <v/>
      </c>
      <c r="E43" s="1164" t="str" cm="1">
        <f t="array" aca="1" ref="E43" ca="1">IF(C43 = "", "", INDIRECT("Chem!" &amp;ADDRESS(151, C43)))</f>
        <v/>
      </c>
      <c r="F43" s="372" t="str" cm="1">
        <f t="array" aca="1" ref="F43" ca="1">IF(C43 = "", "", INDIRECT("Chem!" &amp;ADDRESS(40, C43)))</f>
        <v/>
      </c>
      <c r="G43" s="1175" t="str" cm="1">
        <f t="array" aca="1" ref="G43" ca="1">IF(C43 = "", "", INDIRECT("Chem!" &amp;ADDRESS(157, C43)))</f>
        <v/>
      </c>
      <c r="H43" s="1181" t="str" cm="1">
        <f t="array" aca="1" ref="H43" ca="1">IF(C43 = "", "", INDIRECT("Chem!" &amp;ADDRESS(103, C43)))</f>
        <v/>
      </c>
      <c r="I43" s="184"/>
      <c r="BA43" s="490">
        <v>100</v>
      </c>
      <c r="BB43" s="186">
        <v>11</v>
      </c>
    </row>
    <row r="44" spans="1:54" x14ac:dyDescent="0.2">
      <c r="A44" s="1168" t="str">
        <f t="shared" si="1"/>
        <v/>
      </c>
      <c r="B44" s="1179" t="str">
        <f>IFERROR(INDEX(Chem!$1:$1, MATCH(A44, Chem!$1:$1, 0) - 2), "")</f>
        <v/>
      </c>
      <c r="C44" s="489" t="str">
        <f>IF(B44="", "", MATCH(B44, Chem!$1:$1, 0))</f>
        <v/>
      </c>
      <c r="D44" s="180" t="str" cm="1">
        <f t="array" aca="1" ref="D44" ca="1">IF(C44 = "", "", INDIRECT("Chem!" &amp;ADDRESS(8, C44)))</f>
        <v/>
      </c>
      <c r="E44" s="1164" t="str" cm="1">
        <f t="array" aca="1" ref="E44" ca="1">IF(C44 = "", "", INDIRECT("Chem!" &amp;ADDRESS(151, C44)))</f>
        <v/>
      </c>
      <c r="F44" s="372" t="str" cm="1">
        <f t="array" aca="1" ref="F44" ca="1">IF(C44 = "", "", INDIRECT("Chem!" &amp;ADDRESS(40, C44)))</f>
        <v/>
      </c>
      <c r="G44" s="1175" t="str" cm="1">
        <f t="array" aca="1" ref="G44" ca="1">IF(C44 = "", "", INDIRECT("Chem!" &amp;ADDRESS(157, C44)))</f>
        <v/>
      </c>
      <c r="H44" s="1181" t="str" cm="1">
        <f t="array" aca="1" ref="H44" ca="1">IF(C44 = "", "", INDIRECT("Chem!" &amp;ADDRESS(103, C44)))</f>
        <v/>
      </c>
      <c r="I44" s="184"/>
    </row>
    <row r="45" spans="1:54" x14ac:dyDescent="0.2">
      <c r="A45" s="1168" t="str">
        <f t="shared" si="1"/>
        <v/>
      </c>
      <c r="B45" s="1179" t="str">
        <f>IFERROR(INDEX(Chem!$1:$1, MATCH(A45, Chem!$1:$1, 0) - 2), "")</f>
        <v/>
      </c>
      <c r="C45" s="489" t="str">
        <f>IF(B45="", "", MATCH(B45, Chem!$1:$1, 0))</f>
        <v/>
      </c>
      <c r="D45" s="180" t="str" cm="1">
        <f t="array" aca="1" ref="D45" ca="1">IF(C45 = "", "", INDIRECT("Chem!" &amp;ADDRESS(8, C45)))</f>
        <v/>
      </c>
      <c r="E45" s="1164" t="str" cm="1">
        <f t="array" aca="1" ref="E45" ca="1">IF(C45 = "", "", INDIRECT("Chem!" &amp;ADDRESS(151, C45)))</f>
        <v/>
      </c>
      <c r="F45" s="372" t="str" cm="1">
        <f t="array" aca="1" ref="F45" ca="1">IF(C45 = "", "", INDIRECT("Chem!" &amp;ADDRESS(40, C45)))</f>
        <v/>
      </c>
      <c r="G45" s="1175" t="str" cm="1">
        <f t="array" aca="1" ref="G45" ca="1">IF(C45 = "", "", INDIRECT("Chem!" &amp;ADDRESS(157, C45)))</f>
        <v/>
      </c>
      <c r="H45" s="1181" t="str" cm="1">
        <f t="array" aca="1" ref="H45" ca="1">IF(C45 = "", "", INDIRECT("Chem!" &amp;ADDRESS(103, C45)))</f>
        <v/>
      </c>
      <c r="I45" s="184"/>
    </row>
    <row r="46" spans="1:54" x14ac:dyDescent="0.2">
      <c r="A46" s="1168" t="str">
        <f t="shared" si="1"/>
        <v/>
      </c>
      <c r="B46" s="1179" t="str">
        <f>IFERROR(INDEX(Chem!$1:$1, MATCH(A46, Chem!$1:$1, 0) - 2), "")</f>
        <v/>
      </c>
      <c r="C46" s="489" t="str">
        <f>IF(B46="", "", MATCH(B46, Chem!$1:$1, 0))</f>
        <v/>
      </c>
      <c r="D46" s="180" t="str" cm="1">
        <f t="array" aca="1" ref="D46" ca="1">IF(C46 = "", "", INDIRECT("Chem!" &amp;ADDRESS(8, C46)))</f>
        <v/>
      </c>
      <c r="E46" s="1164" t="str" cm="1">
        <f t="array" aca="1" ref="E46" ca="1">IF(C46 = "", "", INDIRECT("Chem!" &amp;ADDRESS(151, C46)))</f>
        <v/>
      </c>
      <c r="F46" s="372" t="str" cm="1">
        <f t="array" aca="1" ref="F46" ca="1">IF(C46 = "", "", INDIRECT("Chem!" &amp;ADDRESS(40, C46)))</f>
        <v/>
      </c>
      <c r="G46" s="1175" t="str" cm="1">
        <f t="array" aca="1" ref="G46" ca="1">IF(C46 = "", "", INDIRECT("Chem!" &amp;ADDRESS(157, C46)))</f>
        <v/>
      </c>
      <c r="H46" s="1181" t="str" cm="1">
        <f t="array" aca="1" ref="H46" ca="1">IF(C46 = "", "", INDIRECT("Chem!" &amp;ADDRESS(103, C46)))</f>
        <v/>
      </c>
      <c r="I46" s="184"/>
    </row>
    <row r="47" spans="1:54" x14ac:dyDescent="0.2">
      <c r="A47" s="1168" t="str">
        <f t="shared" si="1"/>
        <v/>
      </c>
      <c r="B47" s="1179" t="str">
        <f>IFERROR(INDEX(Chem!$1:$1, MATCH(A47, Chem!$1:$1, 0) - 2), "")</f>
        <v/>
      </c>
      <c r="C47" s="489" t="str">
        <f>IF(B47="", "", MATCH(B47, Chem!$1:$1, 0))</f>
        <v/>
      </c>
      <c r="D47" s="180" t="str" cm="1">
        <f t="array" aca="1" ref="D47" ca="1">IF(C47 = "", "", INDIRECT("Chem!" &amp;ADDRESS(8, C47)))</f>
        <v/>
      </c>
      <c r="E47" s="1164" t="str" cm="1">
        <f t="array" aca="1" ref="E47" ca="1">IF(C47 = "", "", INDIRECT("Chem!" &amp;ADDRESS(151, C47)))</f>
        <v/>
      </c>
      <c r="F47" s="372" t="str" cm="1">
        <f t="array" aca="1" ref="F47" ca="1">IF(C47 = "", "", INDIRECT("Chem!" &amp;ADDRESS(40, C47)))</f>
        <v/>
      </c>
      <c r="G47" s="1175" t="str" cm="1">
        <f t="array" aca="1" ref="G47" ca="1">IF(C47 = "", "", INDIRECT("Chem!" &amp;ADDRESS(157, C47)))</f>
        <v/>
      </c>
      <c r="H47" s="1181" t="str" cm="1">
        <f t="array" aca="1" ref="H47" ca="1">IF(C47 = "", "", INDIRECT("Chem!" &amp;ADDRESS(103, C47)))</f>
        <v/>
      </c>
      <c r="I47" s="184"/>
    </row>
    <row r="48" spans="1:54" x14ac:dyDescent="0.2">
      <c r="A48" s="1168" t="str">
        <f t="shared" si="1"/>
        <v/>
      </c>
      <c r="B48" s="1179" t="str">
        <f>IFERROR(INDEX(Chem!$1:$1, MATCH(A48, Chem!$1:$1, 0) - 2), "")</f>
        <v/>
      </c>
      <c r="C48" s="489" t="str">
        <f>IF(B48="", "", MATCH(B48, Chem!$1:$1, 0))</f>
        <v/>
      </c>
      <c r="D48" s="180" t="str" cm="1">
        <f t="array" aca="1" ref="D48" ca="1">IF(C48 = "", "", INDIRECT("Chem!" &amp;ADDRESS(8, C48)))</f>
        <v/>
      </c>
      <c r="E48" s="1164" t="str" cm="1">
        <f t="array" aca="1" ref="E48" ca="1">IF(C48 = "", "", INDIRECT("Chem!" &amp;ADDRESS(151, C48)))</f>
        <v/>
      </c>
      <c r="F48" s="372" t="str" cm="1">
        <f t="array" aca="1" ref="F48" ca="1">IF(C48 = "", "", INDIRECT("Chem!" &amp;ADDRESS(40, C48)))</f>
        <v/>
      </c>
      <c r="G48" s="1175" t="str" cm="1">
        <f t="array" aca="1" ref="G48" ca="1">IF(C48 = "", "", INDIRECT("Chem!" &amp;ADDRESS(157, C48)))</f>
        <v/>
      </c>
      <c r="H48" s="1181" t="str" cm="1">
        <f t="array" aca="1" ref="H48" ca="1">IF(C48 = "", "", INDIRECT("Chem!" &amp;ADDRESS(103, C48)))</f>
        <v/>
      </c>
      <c r="I48" s="184"/>
    </row>
    <row r="49" spans="1:46" x14ac:dyDescent="0.2">
      <c r="A49" s="1168" t="str">
        <f t="shared" si="1"/>
        <v/>
      </c>
      <c r="B49" s="1179" t="str">
        <f>IFERROR(INDEX(Chem!$1:$1, MATCH(A49, Chem!$1:$1, 0) - 2), "")</f>
        <v/>
      </c>
      <c r="C49" s="489" t="str">
        <f>IF(B49="", "", MATCH(B49, Chem!$1:$1, 0))</f>
        <v/>
      </c>
      <c r="D49" s="180" t="str" cm="1">
        <f t="array" aca="1" ref="D49" ca="1">IF(C49 = "", "", INDIRECT("Chem!" &amp;ADDRESS(8, C49)))</f>
        <v/>
      </c>
      <c r="E49" s="1164" t="str" cm="1">
        <f t="array" aca="1" ref="E49" ca="1">IF(C49 = "", "", INDIRECT("Chem!" &amp;ADDRESS(151, C49)))</f>
        <v/>
      </c>
      <c r="F49" s="372" t="str" cm="1">
        <f t="array" aca="1" ref="F49" ca="1">IF(C49 = "", "", INDIRECT("Chem!" &amp;ADDRESS(40, C49)))</f>
        <v/>
      </c>
      <c r="G49" s="1175" t="str" cm="1">
        <f t="array" aca="1" ref="G49" ca="1">IF(C49 = "", "", INDIRECT("Chem!" &amp;ADDRESS(157, C49)))</f>
        <v/>
      </c>
      <c r="H49" s="1181" t="str" cm="1">
        <f t="array" aca="1" ref="H49" ca="1">IF(C49 = "", "", INDIRECT("Chem!" &amp;ADDRESS(103, C49)))</f>
        <v/>
      </c>
      <c r="I49" s="184"/>
    </row>
    <row r="50" spans="1:46" x14ac:dyDescent="0.2">
      <c r="A50" s="1168" t="str">
        <f t="shared" si="1"/>
        <v/>
      </c>
      <c r="B50" s="1179" t="str">
        <f>IFERROR(INDEX(Chem!$1:$1, MATCH(A50, Chem!$1:$1, 0) - 2), "")</f>
        <v/>
      </c>
      <c r="C50" s="489" t="str">
        <f>IF(B50="", "", MATCH(B50, Chem!$1:$1, 0))</f>
        <v/>
      </c>
      <c r="D50" s="180" t="str" cm="1">
        <f t="array" aca="1" ref="D50" ca="1">IF(C50 = "", "", INDIRECT("Chem!" &amp;ADDRESS(8, C50)))</f>
        <v/>
      </c>
      <c r="E50" s="1164" t="str" cm="1">
        <f t="array" aca="1" ref="E50" ca="1">IF(C50 = "", "", INDIRECT("Chem!" &amp;ADDRESS(151, C50)))</f>
        <v/>
      </c>
      <c r="F50" s="372" t="str" cm="1">
        <f t="array" aca="1" ref="F50" ca="1">IF(C50 = "", "", INDIRECT("Chem!" &amp;ADDRESS(40, C50)))</f>
        <v/>
      </c>
      <c r="G50" s="1175" t="str" cm="1">
        <f t="array" aca="1" ref="G50" ca="1">IF(C50 = "", "", INDIRECT("Chem!" &amp;ADDRESS(157, C50)))</f>
        <v/>
      </c>
      <c r="H50" s="1181" t="str" cm="1">
        <f t="array" aca="1" ref="H50" ca="1">IF(C50 = "", "", INDIRECT("Chem!" &amp;ADDRESS(103, C50)))</f>
        <v/>
      </c>
      <c r="I50" s="184"/>
    </row>
    <row r="51" spans="1:46" x14ac:dyDescent="0.2">
      <c r="A51" s="1168" t="str">
        <f t="shared" si="1"/>
        <v/>
      </c>
      <c r="B51" s="1179" t="str">
        <f>IFERROR(INDEX(Chem!$1:$1, MATCH(A51, Chem!$1:$1, 0) - 2), "")</f>
        <v/>
      </c>
      <c r="C51" s="489" t="str">
        <f>IF(B51="", "", MATCH(B51, Chem!$1:$1, 0))</f>
        <v/>
      </c>
      <c r="D51" s="180" t="str" cm="1">
        <f t="array" aca="1" ref="D51" ca="1">IF(C51 = "", "", INDIRECT("Chem!" &amp;ADDRESS(8, C51)))</f>
        <v/>
      </c>
      <c r="E51" s="1164" t="str" cm="1">
        <f t="array" aca="1" ref="E51" ca="1">IF(C51 = "", "", INDIRECT("Chem!" &amp;ADDRESS(151, C51)))</f>
        <v/>
      </c>
      <c r="F51" s="372" t="str" cm="1">
        <f t="array" aca="1" ref="F51" ca="1">IF(C51 = "", "", INDIRECT("Chem!" &amp;ADDRESS(40, C51)))</f>
        <v/>
      </c>
      <c r="G51" s="1175" t="str" cm="1">
        <f t="array" aca="1" ref="G51" ca="1">IF(C51 = "", "", INDIRECT("Chem!" &amp;ADDRESS(157, C51)))</f>
        <v/>
      </c>
      <c r="H51" s="1181" t="str" cm="1">
        <f t="array" aca="1" ref="H51" ca="1">IF(C51 = "", "", INDIRECT("Chem!" &amp;ADDRESS(103, C51)))</f>
        <v/>
      </c>
      <c r="I51" s="184"/>
    </row>
    <row r="52" spans="1:46" x14ac:dyDescent="0.2">
      <c r="A52" s="1168" t="str">
        <f t="shared" si="1"/>
        <v/>
      </c>
      <c r="B52" s="1179" t="str">
        <f>IFERROR(INDEX(Chem!$1:$1, MATCH(A52, Chem!$1:$1, 0) - 2), "")</f>
        <v/>
      </c>
      <c r="C52" s="489" t="str">
        <f>IF(B52="", "", MATCH(B52, Chem!$1:$1, 0))</f>
        <v/>
      </c>
      <c r="D52" s="180" t="str" cm="1">
        <f t="array" aca="1" ref="D52" ca="1">IF(C52 = "", "", INDIRECT("Chem!" &amp;ADDRESS(8, C52)))</f>
        <v/>
      </c>
      <c r="E52" s="1164" t="str" cm="1">
        <f t="array" aca="1" ref="E52" ca="1">IF(C52 = "", "", INDIRECT("Chem!" &amp;ADDRESS(151, C52)))</f>
        <v/>
      </c>
      <c r="F52" s="372" t="str" cm="1">
        <f t="array" aca="1" ref="F52" ca="1">IF(C52 = "", "", INDIRECT("Chem!" &amp;ADDRESS(40, C52)))</f>
        <v/>
      </c>
      <c r="G52" s="1175" t="str" cm="1">
        <f t="array" aca="1" ref="G52" ca="1">IF(C52 = "", "", INDIRECT("Chem!" &amp;ADDRESS(157, C52)))</f>
        <v/>
      </c>
      <c r="H52" s="1181" t="str" cm="1">
        <f t="array" aca="1" ref="H52" ca="1">IF(C52 = "", "", INDIRECT("Chem!" &amp;ADDRESS(103, C52)))</f>
        <v/>
      </c>
      <c r="I52" s="184"/>
    </row>
    <row r="53" spans="1:46" x14ac:dyDescent="0.2">
      <c r="A53" s="1168" t="str">
        <f t="shared" si="1"/>
        <v/>
      </c>
      <c r="B53" s="1179" t="str">
        <f>IFERROR(INDEX(Chem!$1:$1, MATCH(A53, Chem!$1:$1, 0) - 2), "")</f>
        <v/>
      </c>
      <c r="C53" s="489" t="str">
        <f>IF(B53="", "", MATCH(B53, Chem!$1:$1, 0))</f>
        <v/>
      </c>
      <c r="D53" s="180" t="str" cm="1">
        <f t="array" aca="1" ref="D53" ca="1">IF(C53 = "", "", INDIRECT("Chem!" &amp;ADDRESS(8, C53)))</f>
        <v/>
      </c>
      <c r="E53" s="1164" t="str" cm="1">
        <f t="array" aca="1" ref="E53" ca="1">IF(C53 = "", "", INDIRECT("Chem!" &amp;ADDRESS(151, C53)))</f>
        <v/>
      </c>
      <c r="F53" s="372" t="str" cm="1">
        <f t="array" aca="1" ref="F53" ca="1">IF(C53 = "", "", INDIRECT("Chem!" &amp;ADDRESS(40, C53)))</f>
        <v/>
      </c>
      <c r="G53" s="1175" t="str" cm="1">
        <f t="array" aca="1" ref="G53" ca="1">IF(C53 = "", "", INDIRECT("Chem!" &amp;ADDRESS(157, C53)))</f>
        <v/>
      </c>
      <c r="H53" s="1181" t="str" cm="1">
        <f t="array" aca="1" ref="H53" ca="1">IF(C53 = "", "", INDIRECT("Chem!" &amp;ADDRESS(103, C53)))</f>
        <v/>
      </c>
      <c r="I53" s="184"/>
    </row>
    <row r="54" spans="1:46" x14ac:dyDescent="0.2">
      <c r="A54" s="1168" t="str">
        <f t="shared" si="1"/>
        <v/>
      </c>
      <c r="B54" s="1179" t="str">
        <f>IFERROR(INDEX(Chem!$1:$1, MATCH(A54, Chem!$1:$1, 0) - 2), "")</f>
        <v/>
      </c>
      <c r="C54" s="489" t="str">
        <f>IF(B54="", "", MATCH(B54, Chem!$1:$1, 0))</f>
        <v/>
      </c>
      <c r="D54" s="180" t="str" cm="1">
        <f t="array" aca="1" ref="D54" ca="1">IF(C54 = "", "", INDIRECT("Chem!" &amp;ADDRESS(8, C54)))</f>
        <v/>
      </c>
      <c r="E54" s="1164" t="str" cm="1">
        <f t="array" aca="1" ref="E54" ca="1">IF(C54 = "", "", INDIRECT("Chem!" &amp;ADDRESS(151, C54)))</f>
        <v/>
      </c>
      <c r="F54" s="372" t="str" cm="1">
        <f t="array" aca="1" ref="F54" ca="1">IF(C54 = "", "", INDIRECT("Chem!" &amp;ADDRESS(40, C54)))</f>
        <v/>
      </c>
      <c r="G54" s="1175" t="str" cm="1">
        <f t="array" aca="1" ref="G54" ca="1">IF(C54 = "", "", INDIRECT("Chem!" &amp;ADDRESS(157, C54)))</f>
        <v/>
      </c>
      <c r="H54" s="1181" t="str" cm="1">
        <f t="array" aca="1" ref="H54" ca="1">IF(C54 = "", "", INDIRECT("Chem!" &amp;ADDRESS(103, C54)))</f>
        <v/>
      </c>
      <c r="I54" s="184"/>
    </row>
    <row r="55" spans="1:46" x14ac:dyDescent="0.2">
      <c r="A55" s="1168" t="str">
        <f t="shared" si="1"/>
        <v/>
      </c>
      <c r="B55" s="1179" t="str">
        <f>IFERROR(INDEX(Chem!$1:$1, MATCH(A55, Chem!$1:$1, 0) - 2), "")</f>
        <v/>
      </c>
      <c r="C55" s="489" t="str">
        <f>IF(B55="", "", MATCH(B55, Chem!$1:$1, 0))</f>
        <v/>
      </c>
      <c r="D55" s="180" t="str" cm="1">
        <f t="array" aca="1" ref="D55" ca="1">IF(C55 = "", "", INDIRECT("Chem!" &amp;ADDRESS(8, C55)))</f>
        <v/>
      </c>
      <c r="E55" s="1164" t="str" cm="1">
        <f t="array" aca="1" ref="E55" ca="1">IF(C55 = "", "", INDIRECT("Chem!" &amp;ADDRESS(151, C55)))</f>
        <v/>
      </c>
      <c r="F55" s="372" t="str" cm="1">
        <f t="array" aca="1" ref="F55" ca="1">IF(C55 = "", "", INDIRECT("Chem!" &amp;ADDRESS(40, C55)))</f>
        <v/>
      </c>
      <c r="G55" s="1175" t="str" cm="1">
        <f t="array" aca="1" ref="G55" ca="1">IF(C55 = "", "", INDIRECT("Chem!" &amp;ADDRESS(157, C55)))</f>
        <v/>
      </c>
      <c r="H55" s="1181" t="str" cm="1">
        <f t="array" aca="1" ref="H55" ca="1">IF(C55 = "", "", INDIRECT("Chem!" &amp;ADDRESS(103, C55)))</f>
        <v/>
      </c>
      <c r="I55" s="184"/>
    </row>
    <row r="56" spans="1:46" x14ac:dyDescent="0.2">
      <c r="A56" s="1168" t="str">
        <f t="shared" si="1"/>
        <v/>
      </c>
      <c r="B56" s="1179" t="str">
        <f>IFERROR(INDEX(Chem!$1:$1, MATCH(A56, Chem!$1:$1, 0) - 2), "")</f>
        <v/>
      </c>
      <c r="C56" s="489" t="str">
        <f>IF(B56="", "", MATCH(B56, Chem!$1:$1, 0))</f>
        <v/>
      </c>
      <c r="D56" s="180" t="str" cm="1">
        <f t="array" aca="1" ref="D56" ca="1">IF(C56 = "", "", INDIRECT("Chem!" &amp;ADDRESS(8, C56)))</f>
        <v/>
      </c>
      <c r="E56" s="1164" t="str" cm="1">
        <f t="array" aca="1" ref="E56" ca="1">IF(C56 = "", "", INDIRECT("Chem!" &amp;ADDRESS(151, C56)))</f>
        <v/>
      </c>
      <c r="F56" s="372" t="str" cm="1">
        <f t="array" aca="1" ref="F56" ca="1">IF(C56 = "", "", INDIRECT("Chem!" &amp;ADDRESS(40, C56)))</f>
        <v/>
      </c>
      <c r="G56" s="1175" t="str" cm="1">
        <f t="array" aca="1" ref="G56" ca="1">IF(C56 = "", "", INDIRECT("Chem!" &amp;ADDRESS(157, C56)))</f>
        <v/>
      </c>
      <c r="H56" s="1181" t="str" cm="1">
        <f t="array" aca="1" ref="H56" ca="1">IF(C56 = "", "", INDIRECT("Chem!" &amp;ADDRESS(103, C56)))</f>
        <v/>
      </c>
      <c r="I56" s="184"/>
    </row>
    <row r="57" spans="1:46" x14ac:dyDescent="0.2">
      <c r="A57" s="1168" t="str">
        <f t="shared" si="1"/>
        <v/>
      </c>
      <c r="B57" s="1179" t="str">
        <f>IFERROR(INDEX(Chem!$1:$1, MATCH(A57, Chem!$1:$1, 0) - 2), "")</f>
        <v/>
      </c>
      <c r="C57" s="489" t="str">
        <f>IF(B57="", "", MATCH(B57, Chem!$1:$1, 0))</f>
        <v/>
      </c>
      <c r="D57" s="180" t="str" cm="1">
        <f t="array" aca="1" ref="D57" ca="1">IF(C57 = "", "", INDIRECT("Chem!" &amp;ADDRESS(8, C57)))</f>
        <v/>
      </c>
      <c r="E57" s="1164" t="str" cm="1">
        <f t="array" aca="1" ref="E57" ca="1">IF(C57 = "", "", INDIRECT("Chem!" &amp;ADDRESS(151, C57)))</f>
        <v/>
      </c>
      <c r="F57" s="372" t="str" cm="1">
        <f t="array" aca="1" ref="F57" ca="1">IF(C57 = "", "", INDIRECT("Chem!" &amp;ADDRESS(40, C57)))</f>
        <v/>
      </c>
      <c r="G57" s="1175" t="str" cm="1">
        <f t="array" aca="1" ref="G57" ca="1">IF(C57 = "", "", INDIRECT("Chem!" &amp;ADDRESS(157, C57)))</f>
        <v/>
      </c>
      <c r="H57" s="1181" t="str" cm="1">
        <f t="array" aca="1" ref="H57" ca="1">IF(C57 = "", "", INDIRECT("Chem!" &amp;ADDRESS(103, C57)))</f>
        <v/>
      </c>
      <c r="I57" s="184"/>
    </row>
    <row r="58" spans="1:46" ht="17" thickBot="1" x14ac:dyDescent="0.25">
      <c r="A58" s="1169" t="str">
        <f t="shared" si="1"/>
        <v/>
      </c>
      <c r="B58" s="1180" t="str">
        <f>IFERROR(INDEX(Chem!$1:$1, MATCH(A58, Chem!$1:$1, 0) - 2), "")</f>
        <v/>
      </c>
      <c r="C58" s="490" t="str">
        <f>IF(B58="", "", MATCH(B58, Chem!$1:$1, 0))</f>
        <v/>
      </c>
      <c r="D58" s="185" t="str" cm="1">
        <f t="array" aca="1" ref="D58" ca="1">IF(C58 = "", "", INDIRECT("Chem!" &amp;ADDRESS(8, C58)))</f>
        <v/>
      </c>
      <c r="E58" s="1170" t="str" cm="1">
        <f t="array" aca="1" ref="E58" ca="1">IF(C58 = "", "", INDIRECT("Chem!" &amp;ADDRESS(151, C58)))</f>
        <v/>
      </c>
      <c r="F58" s="372" t="str" cm="1">
        <f t="array" aca="1" ref="F58" ca="1">IF(C58 = "", "", INDIRECT("Chem!" &amp;ADDRESS(40, C58)))</f>
        <v/>
      </c>
      <c r="G58" s="1175" t="str" cm="1">
        <f t="array" aca="1" ref="G58" ca="1">IF(C58 = "", "", INDIRECT("Chem!" &amp;ADDRESS(157, C58)))</f>
        <v/>
      </c>
      <c r="H58" s="1181" t="str" cm="1">
        <f t="array" aca="1" ref="H58" ca="1">IF(C58 = "", "", INDIRECT("Chem!" &amp;ADDRESS(103, C58)))</f>
        <v/>
      </c>
      <c r="I58" s="186"/>
    </row>
    <row r="61" spans="1:46" x14ac:dyDescent="0.2">
      <c r="P61" s="2"/>
    </row>
    <row r="62" spans="1:46" ht="17" thickBot="1" x14ac:dyDescent="0.25">
      <c r="Z62" s="8"/>
    </row>
    <row r="63" spans="1:46" ht="17" thickBot="1" x14ac:dyDescent="0.25">
      <c r="M63" s="534" t="s">
        <v>784</v>
      </c>
      <c r="N63" s="535"/>
      <c r="O63" s="525" t="s">
        <v>736</v>
      </c>
      <c r="P63" s="525" t="s">
        <v>737</v>
      </c>
      <c r="Q63" s="525" t="s">
        <v>738</v>
      </c>
      <c r="R63" s="525" t="s">
        <v>739</v>
      </c>
      <c r="S63" s="525" t="s">
        <v>741</v>
      </c>
      <c r="T63" s="525" t="s">
        <v>742</v>
      </c>
      <c r="U63" s="525" t="s">
        <v>743</v>
      </c>
      <c r="V63" s="525" t="s">
        <v>789</v>
      </c>
      <c r="W63" s="525" t="s">
        <v>295</v>
      </c>
      <c r="X63" s="1148" t="s">
        <v>2249</v>
      </c>
      <c r="Y63" s="1148" t="s">
        <v>2250</v>
      </c>
      <c r="Z63" s="1148" t="s">
        <v>2251</v>
      </c>
      <c r="AA63" s="1149" t="s">
        <v>2252</v>
      </c>
      <c r="AB63" s="1148" t="s">
        <v>740</v>
      </c>
      <c r="AC63" s="425"/>
      <c r="AD63" s="425"/>
      <c r="AE63" s="425"/>
      <c r="AF63" s="425"/>
      <c r="AG63" s="426"/>
      <c r="AQ63" s="67"/>
    </row>
    <row r="64" spans="1:46" x14ac:dyDescent="0.2">
      <c r="M64" s="483" t="s">
        <v>2253</v>
      </c>
      <c r="N64" s="67"/>
      <c r="O64" s="2" t="s">
        <v>2254</v>
      </c>
      <c r="P64" s="2" t="s">
        <v>2255</v>
      </c>
      <c r="Q64" s="2" t="s">
        <v>2256</v>
      </c>
      <c r="R64" s="2" t="s">
        <v>2257</v>
      </c>
      <c r="S64" s="2" t="s">
        <v>2258</v>
      </c>
      <c r="T64" s="2" t="s">
        <v>2259</v>
      </c>
      <c r="U64" s="2" t="s">
        <v>2260</v>
      </c>
      <c r="V64" s="2" t="s">
        <v>2261</v>
      </c>
      <c r="W64" s="2" t="s">
        <v>2262</v>
      </c>
      <c r="X64" s="8" t="s">
        <v>2249</v>
      </c>
      <c r="Y64" s="8" t="s">
        <v>2250</v>
      </c>
      <c r="Z64" s="8" t="s">
        <v>2251</v>
      </c>
      <c r="AA64" s="590" t="s">
        <v>2252</v>
      </c>
      <c r="AB64" s="191" t="s">
        <v>2263</v>
      </c>
      <c r="AG64" s="229"/>
      <c r="AT64" s="46"/>
    </row>
    <row r="65" spans="1:49" ht="17" thickBot="1" x14ac:dyDescent="0.25">
      <c r="M65" s="536" t="s">
        <v>2264</v>
      </c>
      <c r="N65" s="40"/>
      <c r="O65" s="491" t="s">
        <v>1977</v>
      </c>
      <c r="P65" s="491" t="s">
        <v>1977</v>
      </c>
      <c r="Q65" s="491" t="s">
        <v>1977</v>
      </c>
      <c r="R65" s="491" t="s">
        <v>1977</v>
      </c>
      <c r="S65" s="491" t="s">
        <v>1977</v>
      </c>
      <c r="T65" s="491" t="s">
        <v>1977</v>
      </c>
      <c r="U65" s="491" t="s">
        <v>1977</v>
      </c>
      <c r="V65" s="491" t="s">
        <v>1978</v>
      </c>
      <c r="W65" s="491" t="s">
        <v>1978</v>
      </c>
      <c r="X65" s="491" t="s">
        <v>1978</v>
      </c>
      <c r="Y65" s="491" t="s">
        <v>1978</v>
      </c>
      <c r="Z65" s="491" t="s">
        <v>1978</v>
      </c>
      <c r="AA65" s="491" t="s">
        <v>1978</v>
      </c>
      <c r="AB65" s="1159" t="s">
        <v>1977</v>
      </c>
      <c r="AC65" s="537"/>
      <c r="AD65" s="537"/>
      <c r="AE65" s="537"/>
      <c r="AF65" s="537"/>
      <c r="AG65" s="538"/>
      <c r="AQ65" s="9"/>
      <c r="AT65" s="36"/>
    </row>
    <row r="66" spans="1:49" x14ac:dyDescent="0.2">
      <c r="M66" s="228"/>
      <c r="AG66" s="229"/>
      <c r="AP66" s="5" t="s">
        <v>2265</v>
      </c>
      <c r="AQ66" s="8"/>
      <c r="AT66" s="95"/>
    </row>
    <row r="67" spans="1:49" ht="17" thickBot="1" x14ac:dyDescent="0.25">
      <c r="M67" s="228"/>
      <c r="AG67" s="229"/>
      <c r="AP67" s="8" t="s">
        <v>676</v>
      </c>
      <c r="AQ67" s="8" t="s">
        <v>784</v>
      </c>
      <c r="AR67" s="8" t="s">
        <v>2266</v>
      </c>
      <c r="AS67" s="8" t="s">
        <v>2267</v>
      </c>
      <c r="AT67" s="95"/>
    </row>
    <row r="68" spans="1:49" x14ac:dyDescent="0.2">
      <c r="M68" s="527" t="s">
        <v>2268</v>
      </c>
      <c r="N68" s="528"/>
      <c r="O68" s="530" cm="1">
        <f t="array" ref="O68">SUM($N$117:$N$135*O117:O135)</f>
        <v>96.409140000000008</v>
      </c>
      <c r="P68" s="530" cm="1">
        <f t="array" ref="P68">SUM($N$117:$N$135*P117:P135)</f>
        <v>96.563000000000002</v>
      </c>
      <c r="Q68" s="530" cm="1">
        <f t="array" ref="Q68">SUM($N$117:$N$135*Q117:Q135)</f>
        <v>96.94</v>
      </c>
      <c r="R68" s="530" cm="1">
        <f t="array" ref="R68">SUM($N$117:$N$135*R117:R135)</f>
        <v>97.295000000000002</v>
      </c>
      <c r="S68" s="530" cm="1">
        <f t="array" ref="S68">SUM($N$117:$N$135*S117:S135)</f>
        <v>96.096500000000006</v>
      </c>
      <c r="T68" s="530" cm="1">
        <f t="array" ref="T68">SUM($N$117:$N$135*T117:T135)</f>
        <v>157.76</v>
      </c>
      <c r="U68" s="530" cm="1">
        <f t="array" ref="U68">SUM($N$117:$N$135*U117:U135)</f>
        <v>176.01999999999998</v>
      </c>
      <c r="V68" s="530" cm="1">
        <f t="array" ref="V68">SUM($N$117:$N$135*V117:V135)</f>
        <v>459.26</v>
      </c>
      <c r="W68" s="530" cm="1">
        <f t="array" ref="W68">SUM($N$117:$N$135*W117:W135)</f>
        <v>72</v>
      </c>
      <c r="X68" s="530" cm="1">
        <f t="array" ref="X68">SUM($N$117:$N$135*X117:X135)</f>
        <v>1</v>
      </c>
      <c r="Y68" s="530" cm="1">
        <f t="array" ref="Y68">SUM($N$117:$N$135*Y117:Y135)</f>
        <v>0.99999999999999989</v>
      </c>
      <c r="Z68" s="530" cm="1">
        <f t="array" ref="Z68">SUM($N$117:$N$135*Z117:Z135)</f>
        <v>1</v>
      </c>
      <c r="AA68" s="530" cm="1">
        <f t="array" ref="AA68">SUM($N$117:$N$135*AA117:AA135)</f>
        <v>1</v>
      </c>
      <c r="AB68" s="530" cm="1">
        <f t="array" ref="AB68">SUM($N$117:$N$135*AB117:AB135)</f>
        <v>97.561250000000001</v>
      </c>
      <c r="AC68" s="49"/>
      <c r="AD68" s="49"/>
      <c r="AE68" s="49"/>
      <c r="AF68" s="49"/>
      <c r="AG68" s="239"/>
      <c r="AP68">
        <v>1</v>
      </c>
      <c r="AQ68" s="8" t="s">
        <v>812</v>
      </c>
      <c r="AR68" s="158">
        <v>8</v>
      </c>
      <c r="AS68" s="379">
        <f>_rho_Cu</f>
        <v>8.9600000000000009</v>
      </c>
      <c r="AT68" s="95"/>
    </row>
    <row r="69" spans="1:49" ht="15" customHeight="1" x14ac:dyDescent="0.2">
      <c r="M69" s="483" t="s">
        <v>2269</v>
      </c>
      <c r="N69" s="67"/>
      <c r="O69" s="508">
        <v>155</v>
      </c>
      <c r="P69" s="508">
        <v>161</v>
      </c>
      <c r="Q69" s="508">
        <v>180</v>
      </c>
      <c r="R69" s="508">
        <v>212</v>
      </c>
      <c r="S69" s="508">
        <v>200</v>
      </c>
      <c r="T69" s="508">
        <v>150</v>
      </c>
      <c r="U69" s="508">
        <v>108</v>
      </c>
      <c r="V69" s="508">
        <v>170</v>
      </c>
      <c r="W69" s="508">
        <v>360</v>
      </c>
      <c r="X69" s="508">
        <v>442</v>
      </c>
      <c r="Y69" s="508">
        <v>524</v>
      </c>
      <c r="Z69" s="508">
        <v>606</v>
      </c>
      <c r="AA69" s="508">
        <v>688</v>
      </c>
      <c r="AB69" s="508">
        <v>230</v>
      </c>
      <c r="AG69" s="229"/>
      <c r="AP69">
        <v>2</v>
      </c>
      <c r="AQ69" s="8" t="s">
        <v>785</v>
      </c>
      <c r="AR69" s="379">
        <v>1.85</v>
      </c>
      <c r="AS69" s="379">
        <f>_rho_Al</f>
        <v>2.7</v>
      </c>
      <c r="AT69" s="95"/>
    </row>
    <row r="70" spans="1:49" ht="15" customHeight="1" thickBot="1" x14ac:dyDescent="0.25">
      <c r="M70" s="531" t="s">
        <v>2270</v>
      </c>
      <c r="N70" s="532"/>
      <c r="O70" s="533">
        <f t="shared" ref="O70:V70" si="2">O117/3600*1000*96485/O68</f>
        <v>277.99634857119241</v>
      </c>
      <c r="P70" s="533">
        <f t="shared" si="2"/>
        <v>277.55339922008318</v>
      </c>
      <c r="Q70" s="533">
        <f t="shared" si="2"/>
        <v>276.47399307704654</v>
      </c>
      <c r="R70" s="533">
        <f t="shared" si="2"/>
        <v>275.46522317579411</v>
      </c>
      <c r="S70" s="533">
        <f t="shared" si="2"/>
        <v>278.90078087015542</v>
      </c>
      <c r="T70" s="533">
        <f t="shared" si="2"/>
        <v>169.88709995492451</v>
      </c>
      <c r="U70" s="533">
        <f t="shared" si="2"/>
        <v>167.48964764105094</v>
      </c>
      <c r="V70" s="533">
        <f t="shared" si="2"/>
        <v>233.43107511116921</v>
      </c>
      <c r="W70" s="533">
        <f>1/3600*1000*96485/W68</f>
        <v>372.24151234567904</v>
      </c>
      <c r="X70" s="1150">
        <v>442</v>
      </c>
      <c r="Y70" s="1150">
        <v>524</v>
      </c>
      <c r="Z70" s="1150">
        <v>606</v>
      </c>
      <c r="AA70" s="1150">
        <v>688</v>
      </c>
      <c r="AB70" s="533">
        <f>AB117/3600*1000*96485/AB68</f>
        <v>274.71346347949509</v>
      </c>
      <c r="AC70" s="40"/>
      <c r="AD70" s="40"/>
      <c r="AE70" s="40"/>
      <c r="AF70" s="40"/>
      <c r="AG70" s="242"/>
      <c r="AP70">
        <v>3</v>
      </c>
      <c r="AQ70" s="8" t="s">
        <v>1398</v>
      </c>
      <c r="AR70" s="158">
        <v>0.75</v>
      </c>
      <c r="AS70" s="379">
        <f>_rho_steel</f>
        <v>7.8</v>
      </c>
      <c r="AT70" s="95"/>
    </row>
    <row r="71" spans="1:49" x14ac:dyDescent="0.2">
      <c r="M71" s="228"/>
      <c r="AG71" s="229"/>
      <c r="AP71">
        <v>4</v>
      </c>
      <c r="AQ71" s="8" t="s">
        <v>2271</v>
      </c>
      <c r="AR71" s="158">
        <v>2</v>
      </c>
      <c r="AS71" s="379">
        <f>_rho_steel</f>
        <v>7.8</v>
      </c>
      <c r="AT71" s="130"/>
    </row>
    <row r="72" spans="1:49" ht="17" thickBot="1" x14ac:dyDescent="0.25">
      <c r="M72" s="228"/>
      <c r="AG72" s="229"/>
      <c r="AP72">
        <v>5</v>
      </c>
      <c r="AQ72" s="8" t="s">
        <v>2272</v>
      </c>
      <c r="AR72" s="158">
        <v>1</v>
      </c>
      <c r="AS72" s="379"/>
      <c r="AT72" s="95"/>
      <c r="AU72" s="20"/>
    </row>
    <row r="73" spans="1:49" ht="17" thickBot="1" x14ac:dyDescent="0.25">
      <c r="M73" s="539" t="s">
        <v>2273</v>
      </c>
      <c r="N73" s="425"/>
      <c r="O73" s="1380" t="s">
        <v>2274</v>
      </c>
      <c r="P73" s="1380"/>
      <c r="Q73" s="1380"/>
      <c r="R73" s="1380"/>
      <c r="S73" s="1380"/>
      <c r="T73" s="1380"/>
      <c r="U73" s="1380"/>
      <c r="V73" s="1380"/>
      <c r="W73" s="1380"/>
      <c r="X73" s="1380"/>
      <c r="Y73" s="1380"/>
      <c r="Z73" s="1380"/>
      <c r="AA73" s="1380"/>
      <c r="AB73" s="1380"/>
      <c r="AC73" s="1380"/>
      <c r="AD73" s="1380"/>
      <c r="AE73" s="1380"/>
      <c r="AF73" s="1380"/>
      <c r="AG73" s="1381"/>
      <c r="AP73">
        <v>6</v>
      </c>
      <c r="AQ73" s="8" t="s">
        <v>2275</v>
      </c>
      <c r="AR73" s="158">
        <v>50</v>
      </c>
      <c r="AS73" s="379">
        <v>1.55</v>
      </c>
      <c r="AT73" s="26"/>
      <c r="AU73" s="107"/>
    </row>
    <row r="74" spans="1:49" ht="24.75" customHeight="1" thickBot="1" x14ac:dyDescent="0.25">
      <c r="A74">
        <f>MAX(A78:A197)+2</f>
        <v>30</v>
      </c>
      <c r="B74" s="1375" t="s">
        <v>2276</v>
      </c>
      <c r="C74" s="1376"/>
      <c r="D74" s="1376"/>
      <c r="E74" s="1376"/>
      <c r="F74" s="1376"/>
      <c r="G74" s="1376"/>
      <c r="H74" s="1376"/>
      <c r="I74" s="1377"/>
      <c r="M74" s="228">
        <v>0.01</v>
      </c>
      <c r="O74" s="529">
        <f t="shared" ref="O74:S79" si="3">O75*1.1</f>
        <v>9.1183536053424312</v>
      </c>
      <c r="P74" s="529">
        <f t="shared" si="3"/>
        <v>8.2583326908890733</v>
      </c>
      <c r="Q74" s="529">
        <f t="shared" si="3"/>
        <v>7.5664020209378755</v>
      </c>
      <c r="R74" s="529">
        <f t="shared" si="3"/>
        <v>7.4274887691325073</v>
      </c>
      <c r="S74" s="529">
        <f t="shared" si="3"/>
        <v>7.5157796670204471</v>
      </c>
      <c r="T74" s="33">
        <v>3.91179265260166</v>
      </c>
      <c r="U74" s="33">
        <v>119.08121958442</v>
      </c>
      <c r="V74" s="33">
        <v>1.8359289430894301</v>
      </c>
      <c r="W74" s="33">
        <v>0.62007145585586299</v>
      </c>
      <c r="AB74" s="529">
        <f>AB75*1.1</f>
        <v>5.8987118509811562</v>
      </c>
      <c r="AG74" s="229"/>
      <c r="AP74">
        <v>7</v>
      </c>
      <c r="AQ74" s="8" t="s">
        <v>2277</v>
      </c>
      <c r="AR74" s="379">
        <v>80</v>
      </c>
      <c r="AS74" s="379">
        <v>1.55</v>
      </c>
      <c r="AT74" s="46"/>
      <c r="AU74" s="107"/>
    </row>
    <row r="75" spans="1:49" ht="19" thickBot="1" x14ac:dyDescent="0.25">
      <c r="A75" s="222" t="s">
        <v>129</v>
      </c>
      <c r="B75" s="253" t="s">
        <v>284</v>
      </c>
      <c r="C75" s="254" t="s">
        <v>56</v>
      </c>
      <c r="D75" s="254" t="s">
        <v>57</v>
      </c>
      <c r="E75" s="254" t="s">
        <v>58</v>
      </c>
      <c r="F75" s="254" t="s">
        <v>2278</v>
      </c>
      <c r="G75" s="254" t="s">
        <v>60</v>
      </c>
      <c r="H75" s="254" t="s">
        <v>61</v>
      </c>
      <c r="I75" s="255" t="s">
        <v>62</v>
      </c>
      <c r="M75" s="228">
        <v>2.5000000000000001E-2</v>
      </c>
      <c r="O75" s="529">
        <f t="shared" si="3"/>
        <v>8.2894123684931191</v>
      </c>
      <c r="P75" s="529">
        <f t="shared" si="3"/>
        <v>7.5075751735355212</v>
      </c>
      <c r="Q75" s="529">
        <f t="shared" si="3"/>
        <v>6.8785472917617048</v>
      </c>
      <c r="R75" s="529">
        <f t="shared" si="3"/>
        <v>6.7522625173931878</v>
      </c>
      <c r="S75" s="529">
        <f t="shared" si="3"/>
        <v>6.8325269700185878</v>
      </c>
      <c r="T75" s="33">
        <v>3.6591788288970402</v>
      </c>
      <c r="U75" s="33">
        <v>67.212927735609597</v>
      </c>
      <c r="V75" s="33">
        <v>1.7443459523809499</v>
      </c>
      <c r="W75" s="33">
        <v>0.45807635424855597</v>
      </c>
      <c r="AB75" s="529">
        <f>AB76*1.1</f>
        <v>5.3624653190737783</v>
      </c>
      <c r="AG75" s="229"/>
      <c r="AQ75" s="159"/>
      <c r="AR75" s="8"/>
      <c r="AS75" s="26"/>
      <c r="AT75" s="46"/>
      <c r="AU75" s="107"/>
    </row>
    <row r="76" spans="1:49" ht="20" x14ac:dyDescent="0.2">
      <c r="A76" s="1220"/>
      <c r="B76" s="996" t="str">
        <f>Dashboard!C198</f>
        <v>Configuration Errors</v>
      </c>
      <c r="C76" s="248" t="str">
        <f ca="1">Dashboard!D198</f>
        <v>None</v>
      </c>
      <c r="D76" s="994" t="str">
        <f ca="1">Dashboard!E198</f>
        <v>None</v>
      </c>
      <c r="E76" s="994" t="str">
        <f ca="1">Dashboard!F198</f>
        <v>None</v>
      </c>
      <c r="F76" s="994" t="str">
        <f ca="1">Dashboard!G198</f>
        <v>None</v>
      </c>
      <c r="G76" s="994" t="str">
        <f ca="1">Dashboard!H198</f>
        <v>None</v>
      </c>
      <c r="H76" s="994" t="str">
        <f ca="1">Dashboard!I198</f>
        <v>None</v>
      </c>
      <c r="I76" s="999" t="str">
        <f ca="1">Dashboard!J198</f>
        <v>None</v>
      </c>
      <c r="M76" s="228">
        <v>0.05</v>
      </c>
      <c r="O76" s="529">
        <f t="shared" si="3"/>
        <v>7.5358294259028344</v>
      </c>
      <c r="P76" s="529">
        <f t="shared" si="3"/>
        <v>6.8250683395777463</v>
      </c>
      <c r="Q76" s="529">
        <f t="shared" si="3"/>
        <v>6.2532248106924584</v>
      </c>
      <c r="R76" s="529">
        <f t="shared" si="3"/>
        <v>6.1384204703574428</v>
      </c>
      <c r="S76" s="529">
        <f t="shared" si="3"/>
        <v>6.2113881545623517</v>
      </c>
      <c r="T76" s="33">
        <v>3.4894646635387399</v>
      </c>
      <c r="U76" s="33">
        <v>27.331614745670301</v>
      </c>
      <c r="V76" s="33">
        <v>1.6212295697074</v>
      </c>
      <c r="W76" s="33">
        <v>0.31161184768674</v>
      </c>
      <c r="AB76" s="529">
        <f>AB77*1.1</f>
        <v>4.8749684718852526</v>
      </c>
      <c r="AG76" s="229"/>
    </row>
    <row r="77" spans="1:49" ht="20" x14ac:dyDescent="0.2">
      <c r="A77" s="1220"/>
      <c r="B77" s="997" t="str">
        <f>Dashboard!C199</f>
        <v>Configuration Warnings</v>
      </c>
      <c r="C77" s="250" t="str">
        <f ca="1">Dashboard!D199</f>
        <v>10</v>
      </c>
      <c r="D77" s="993" t="str">
        <f ca="1">Dashboard!E199</f>
        <v>10</v>
      </c>
      <c r="E77" s="993" t="str">
        <f ca="1">Dashboard!F199</f>
        <v>10</v>
      </c>
      <c r="F77" s="993" t="str">
        <f ca="1">Dashboard!G199</f>
        <v>10</v>
      </c>
      <c r="G77" s="993" t="str">
        <f ca="1">Dashboard!H199</f>
        <v>10</v>
      </c>
      <c r="H77" s="993" t="str">
        <f ca="1">Dashboard!I199</f>
        <v>10</v>
      </c>
      <c r="I77" s="1000" t="str">
        <f ca="1">Dashboard!J199</f>
        <v>10</v>
      </c>
      <c r="M77" s="228">
        <v>7.4999999999999997E-2</v>
      </c>
      <c r="O77" s="529">
        <f t="shared" si="3"/>
        <v>6.8507540235480304</v>
      </c>
      <c r="P77" s="529">
        <f t="shared" si="3"/>
        <v>6.2046075814343142</v>
      </c>
      <c r="Q77" s="529">
        <f t="shared" si="3"/>
        <v>5.6847498279022348</v>
      </c>
      <c r="R77" s="529">
        <f t="shared" si="3"/>
        <v>5.5803822457794929</v>
      </c>
      <c r="S77" s="529">
        <f t="shared" si="3"/>
        <v>5.6467165041475917</v>
      </c>
      <c r="T77" s="33">
        <v>3.4463362865991698</v>
      </c>
      <c r="U77" s="33">
        <v>12.6598575969024</v>
      </c>
      <c r="V77" s="33">
        <v>1.5652000344827499</v>
      </c>
      <c r="W77" s="33">
        <v>0.22626314621784299</v>
      </c>
      <c r="AB77" s="33">
        <v>4.431789519895684</v>
      </c>
      <c r="AG77" s="229"/>
    </row>
    <row r="78" spans="1:49" ht="20" x14ac:dyDescent="0.2">
      <c r="A78" s="1220">
        <f>IF(ISERROR( Dashboard!C201), "", Dashboard!B201)</f>
        <v>1</v>
      </c>
      <c r="B78" s="997" t="str">
        <f>IFERROR(INDEX('Summary of Results'!$B:$B, MATCH(A78, 'Summary of Results'!$A:$A, 0)), "")</f>
        <v>Battery system total energy, kWh</v>
      </c>
      <c r="C78" s="250">
        <f ca="1">IF(OR(ISERROR($B78), $B78 = ""), "", IFERROR(INDEX('Summary of Results'!G:G, MATCH($A78, 'Summary of Results'!$A:$A, 0)), NA()))</f>
        <v>100.00000000006933</v>
      </c>
      <c r="D78" s="251">
        <f ca="1">IF(OR(ISERROR($B78), $B78 = ""), "", IFERROR(INDEX('Summary of Results'!H:H, MATCH($A78, 'Summary of Results'!$A:$A, 0)), NA()))</f>
        <v>100.00000000006933</v>
      </c>
      <c r="E78" s="251">
        <f ca="1">IF(OR(ISERROR($B78), $B78 = ""), "", IFERROR(INDEX('Summary of Results'!I:I, MATCH($A78, 'Summary of Results'!$A:$A, 0)), NA()))</f>
        <v>100.00000000006933</v>
      </c>
      <c r="F78" s="251">
        <f ca="1">IF(OR(ISERROR($B78), $B78 = ""), "", IFERROR(INDEX('Summary of Results'!J:J, MATCH($A78, 'Summary of Results'!$A:$A, 0)), NA()))</f>
        <v>100.00000000006933</v>
      </c>
      <c r="G78" s="251">
        <f ca="1">IF(OR(ISERROR($B78), $B78 = ""), "", IFERROR(INDEX('Summary of Results'!K:K, MATCH($A78, 'Summary of Results'!$A:$A, 0)), NA()))</f>
        <v>100.00000000006933</v>
      </c>
      <c r="H78" s="251">
        <f ca="1">IF(OR(ISERROR($B78), $B78 = ""), "", IFERROR(INDEX('Summary of Results'!L:L, MATCH($A78, 'Summary of Results'!$A:$A, 0)), NA()))</f>
        <v>100.00000000006933</v>
      </c>
      <c r="I78" s="252">
        <f ca="1">IF(OR(ISERROR($B78), $B78 = ""), "", IFERROR(INDEX('Summary of Results'!M:M, MATCH($A78, 'Summary of Results'!$A:$A, 0)), NA()))</f>
        <v>100.00000000006933</v>
      </c>
      <c r="M78" s="228">
        <v>0.1</v>
      </c>
      <c r="O78" s="529">
        <f t="shared" si="3"/>
        <v>6.2279582032254819</v>
      </c>
      <c r="P78" s="529">
        <f t="shared" si="3"/>
        <v>5.6405523467584668</v>
      </c>
      <c r="Q78" s="529">
        <f t="shared" si="3"/>
        <v>5.1679543890020314</v>
      </c>
      <c r="R78" s="529">
        <f t="shared" si="3"/>
        <v>5.0730747688904474</v>
      </c>
      <c r="S78" s="529">
        <f>S79*1.1</f>
        <v>5.1333786401341737</v>
      </c>
      <c r="T78" s="33">
        <v>3.4357370458856198</v>
      </c>
      <c r="U78" s="33">
        <v>7.26216762069794</v>
      </c>
      <c r="V78" s="33">
        <v>1.55426520335223</v>
      </c>
      <c r="W78" s="33">
        <v>0.199404838098723</v>
      </c>
      <c r="AB78" s="33">
        <v>4.3441528566845315</v>
      </c>
      <c r="AG78" s="229"/>
      <c r="AP78" s="5" t="s">
        <v>2279</v>
      </c>
    </row>
    <row r="79" spans="1:49" ht="20" x14ac:dyDescent="0.2">
      <c r="A79" s="1220">
        <f>IF(ISERROR( Dashboard!C202), "", Dashboard!B202)</f>
        <v>2</v>
      </c>
      <c r="B79" s="997" t="str">
        <f>IFERROR(INDEX('Summary of Results'!$B:$B, MATCH(A79, 'Summary of Results'!$A:$A, 0)), "")</f>
        <v>Battery system capacity, Ah</v>
      </c>
      <c r="C79" s="250">
        <f ca="1">IF(OR(ISERROR($B79), $B79 = ""), "", IFERROR(INDEX('Summary of Results'!G:G, MATCH($A79, 'Summary of Results'!$A:$A, 0)), NA()))</f>
        <v>271.75885298489277</v>
      </c>
      <c r="D79" s="251">
        <f ca="1">IF(OR(ISERROR($B79), $B79 = ""), "", IFERROR(INDEX('Summary of Results'!H:H, MATCH($A79, 'Summary of Results'!$A:$A, 0)), NA()))</f>
        <v>271.75885298489277</v>
      </c>
      <c r="E79" s="251">
        <f ca="1">IF(OR(ISERROR($B79), $B79 = ""), "", IFERROR(INDEX('Summary of Results'!I:I, MATCH($A79, 'Summary of Results'!$A:$A, 0)), NA()))</f>
        <v>271.75885298489277</v>
      </c>
      <c r="F79" s="251">
        <f ca="1">IF(OR(ISERROR($B79), $B79 = ""), "", IFERROR(INDEX('Summary of Results'!J:J, MATCH($A79, 'Summary of Results'!$A:$A, 0)), NA()))</f>
        <v>271.75885298489277</v>
      </c>
      <c r="G79" s="251">
        <f ca="1">IF(OR(ISERROR($B79), $B79 = ""), "", IFERROR(INDEX('Summary of Results'!K:K, MATCH($A79, 'Summary of Results'!$A:$A, 0)), NA()))</f>
        <v>271.75885298489277</v>
      </c>
      <c r="H79" s="251">
        <f ca="1">IF(OR(ISERROR($B79), $B79 = ""), "", IFERROR(INDEX('Summary of Results'!L:L, MATCH($A79, 'Summary of Results'!$A:$A, 0)), NA()))</f>
        <v>271.75885298489277</v>
      </c>
      <c r="I79" s="252">
        <f ca="1">IF(OR(ISERROR($B79), $B79 = ""), "", IFERROR(INDEX('Summary of Results'!M:M, MATCH($A79, 'Summary of Results'!$A:$A, 0)), NA()))</f>
        <v>271.75885298489277</v>
      </c>
      <c r="M79" s="228">
        <v>0.125</v>
      </c>
      <c r="O79" s="529">
        <f t="shared" si="3"/>
        <v>5.6617801847504374</v>
      </c>
      <c r="P79" s="529">
        <f t="shared" si="3"/>
        <v>5.1277748606895148</v>
      </c>
      <c r="Q79" s="33">
        <v>4.6981403536382098</v>
      </c>
      <c r="R79" s="33">
        <v>4.6118861535367701</v>
      </c>
      <c r="S79" s="33">
        <v>4.6667078546674299</v>
      </c>
      <c r="T79" s="33">
        <v>3.43303974774626</v>
      </c>
      <c r="U79" s="33">
        <v>5.2762054070404201</v>
      </c>
      <c r="V79" s="33">
        <v>1.5533860644154101</v>
      </c>
      <c r="W79" s="33">
        <v>0.18974335423924699</v>
      </c>
      <c r="AB79" s="33">
        <v>4.2610377805994819</v>
      </c>
      <c r="AG79" s="229"/>
      <c r="AP79" s="5"/>
      <c r="AS79" s="244"/>
      <c r="AT79" s="1214"/>
      <c r="AU79" s="1214"/>
      <c r="AV79" s="1214"/>
      <c r="AW79" s="1214"/>
    </row>
    <row r="80" spans="1:49" ht="20" x14ac:dyDescent="0.2">
      <c r="A80" s="1220">
        <f>IF(ISERROR( Dashboard!C203), "", Dashboard!B203)</f>
        <v>3</v>
      </c>
      <c r="B80" s="997" t="str">
        <f>IFERROR(INDEX('Summary of Results'!$B:$B, MATCH(A80, 'Summary of Results'!$A:$A, 0)), "")</f>
        <v>Battery system rated power, kW</v>
      </c>
      <c r="C80" s="250">
        <f ca="1">IF(OR(ISERROR($B80), $B80 = ""), "", IFERROR(INDEX('Summary of Results'!G:G, MATCH($A80, 'Summary of Results'!$A:$A, 0)), NA()))</f>
        <v>299.99999999985272</v>
      </c>
      <c r="D80" s="251">
        <f ca="1">IF(OR(ISERROR($B80), $B80 = ""), "", IFERROR(INDEX('Summary of Results'!H:H, MATCH($A80, 'Summary of Results'!$A:$A, 0)), NA()))</f>
        <v>299.99999999985272</v>
      </c>
      <c r="E80" s="251">
        <f ca="1">IF(OR(ISERROR($B80), $B80 = ""), "", IFERROR(INDEX('Summary of Results'!I:I, MATCH($A80, 'Summary of Results'!$A:$A, 0)), NA()))</f>
        <v>299.99999999985272</v>
      </c>
      <c r="F80" s="251">
        <f ca="1">IF(OR(ISERROR($B80), $B80 = ""), "", IFERROR(INDEX('Summary of Results'!J:J, MATCH($A80, 'Summary of Results'!$A:$A, 0)), NA()))</f>
        <v>299.99999999985272</v>
      </c>
      <c r="G80" s="251">
        <f ca="1">IF(OR(ISERROR($B80), $B80 = ""), "", IFERROR(INDEX('Summary of Results'!K:K, MATCH($A80, 'Summary of Results'!$A:$A, 0)), NA()))</f>
        <v>299.99999999985272</v>
      </c>
      <c r="H80" s="251">
        <f ca="1">IF(OR(ISERROR($B80), $B80 = ""), "", IFERROR(INDEX('Summary of Results'!L:L, MATCH($A80, 'Summary of Results'!$A:$A, 0)), NA()))</f>
        <v>299.99999999985272</v>
      </c>
      <c r="I80" s="252">
        <f ca="1">IF(OR(ISERROR($B80), $B80 = ""), "", IFERROR(INDEX('Summary of Results'!M:M, MATCH($A80, 'Summary of Results'!$A:$A, 0)), NA()))</f>
        <v>299.99999999985272</v>
      </c>
      <c r="M80" s="228">
        <v>0.15</v>
      </c>
      <c r="O80" s="529">
        <f>O81*1.1</f>
        <v>5.1470728952276703</v>
      </c>
      <c r="P80" s="33">
        <v>4.66161350971774</v>
      </c>
      <c r="Q80" s="33">
        <v>4.6462152056678603</v>
      </c>
      <c r="R80" s="33">
        <v>4.5026604268674397</v>
      </c>
      <c r="S80" s="33">
        <v>4.6158126654090204</v>
      </c>
      <c r="T80" s="33">
        <v>3.4323113849987701</v>
      </c>
      <c r="U80" s="33">
        <v>4.5453359736570302</v>
      </c>
      <c r="V80" s="33">
        <v>1.5525069254785899</v>
      </c>
      <c r="W80" s="33">
        <v>0.17335656379930101</v>
      </c>
      <c r="AB80" s="33">
        <v>4.2120846916168118</v>
      </c>
      <c r="AG80" s="229"/>
      <c r="AP80" s="5" t="s">
        <v>2280</v>
      </c>
      <c r="AQ80" s="8" t="s">
        <v>2281</v>
      </c>
      <c r="AR80" s="8" t="s">
        <v>784</v>
      </c>
      <c r="AS80" s="8" t="s">
        <v>2267</v>
      </c>
    </row>
    <row r="81" spans="1:52" ht="20" x14ac:dyDescent="0.2">
      <c r="A81" s="1220">
        <f>IF(ISERROR( Dashboard!C204), "", Dashboard!B204)</f>
        <v>4</v>
      </c>
      <c r="B81" s="997" t="str">
        <f>IFERROR(INDEX('Summary of Results'!$B:$B, MATCH(A81, 'Summary of Results'!$A:$A, 0)), "")</f>
        <v>Battery system nominal operating voltage, V</v>
      </c>
      <c r="C81" s="250">
        <f ca="1">IF(OR(ISERROR($B81), $B81 = ""), "", IFERROR(INDEX('Summary of Results'!G:G, MATCH($A81, 'Summary of Results'!$A:$A, 0)), NA()))</f>
        <v>367.97329287237017</v>
      </c>
      <c r="D81" s="251">
        <f ca="1">IF(OR(ISERROR($B81), $B81 = ""), "", IFERROR(INDEX('Summary of Results'!H:H, MATCH($A81, 'Summary of Results'!$A:$A, 0)), NA()))</f>
        <v>367.97329287237017</v>
      </c>
      <c r="E81" s="251">
        <f ca="1">IF(OR(ISERROR($B81), $B81 = ""), "", IFERROR(INDEX('Summary of Results'!I:I, MATCH($A81, 'Summary of Results'!$A:$A, 0)), NA()))</f>
        <v>367.97329287237017</v>
      </c>
      <c r="F81" s="251">
        <f ca="1">IF(OR(ISERROR($B81), $B81 = ""), "", IFERROR(INDEX('Summary of Results'!J:J, MATCH($A81, 'Summary of Results'!$A:$A, 0)), NA()))</f>
        <v>367.97329287237017</v>
      </c>
      <c r="G81" s="251">
        <f ca="1">IF(OR(ISERROR($B81), $B81 = ""), "", IFERROR(INDEX('Summary of Results'!K:K, MATCH($A81, 'Summary of Results'!$A:$A, 0)), NA()))</f>
        <v>367.97329287237017</v>
      </c>
      <c r="H81" s="251">
        <f ca="1">IF(OR(ISERROR($B81), $B81 = ""), "", IFERROR(INDEX('Summary of Results'!L:L, MATCH($A81, 'Summary of Results'!$A:$A, 0)), NA()))</f>
        <v>367.97329287237017</v>
      </c>
      <c r="I81" s="252">
        <f ca="1">IF(OR(ISERROR($B81), $B81 = ""), "", IFERROR(INDEX('Summary of Results'!M:M, MATCH($A81, 'Summary of Results'!$A:$A, 0)), NA()))</f>
        <v>367.97329287237017</v>
      </c>
      <c r="M81" s="228">
        <v>0.17499999999999999</v>
      </c>
      <c r="O81" s="33">
        <v>4.6791571774797003</v>
      </c>
      <c r="P81" s="33">
        <v>4.6137845109943196</v>
      </c>
      <c r="Q81" s="33">
        <v>4.5854716779047502</v>
      </c>
      <c r="R81" s="33">
        <v>4.40435810840592</v>
      </c>
      <c r="S81" s="33">
        <v>4.5377590905409697</v>
      </c>
      <c r="T81" s="33">
        <v>3.4321006537473302</v>
      </c>
      <c r="U81" s="33">
        <v>4.2761766915738404</v>
      </c>
      <c r="V81" s="33">
        <v>1.55162778654177</v>
      </c>
      <c r="W81" s="33">
        <v>0.15775982220592499</v>
      </c>
      <c r="AB81" s="33">
        <v>4.1918191915152105</v>
      </c>
      <c r="AG81" s="229"/>
      <c r="AS81" s="26"/>
      <c r="AT81" s="1214" t="s">
        <v>1376</v>
      </c>
      <c r="AU81" s="1214" t="s">
        <v>1377</v>
      </c>
      <c r="AV81" s="1343" t="s">
        <v>2282</v>
      </c>
      <c r="AW81" s="1343"/>
      <c r="AX81" s="1214" t="s">
        <v>1377</v>
      </c>
      <c r="AY81" s="26"/>
    </row>
    <row r="82" spans="1:52" ht="20" x14ac:dyDescent="0.2">
      <c r="A82" s="1220">
        <f>IF(ISERROR( Dashboard!C205), "", Dashboard!B205)</f>
        <v>5</v>
      </c>
      <c r="B82" s="997" t="str">
        <f>IFERROR(INDEX('Summary of Results'!$B:$B, MATCH(A82, 'Summary of Results'!$A:$A, 0)), "")</f>
        <v>Pack power to energy ratio (with respect to rated power)</v>
      </c>
      <c r="C82" s="250">
        <f ca="1">IF(OR(ISERROR($B82), $B82 = ""), "", IFERROR(INDEX('Summary of Results'!G:G, MATCH($A82, 'Summary of Results'!$A:$A, 0)), NA()))</f>
        <v>2.9999999999979949</v>
      </c>
      <c r="D82" s="251">
        <f ca="1">IF(OR(ISERROR($B82), $B82 = ""), "", IFERROR(INDEX('Summary of Results'!H:H, MATCH($A82, 'Summary of Results'!$A:$A, 0)), NA()))</f>
        <v>2.9999999999979949</v>
      </c>
      <c r="E82" s="251">
        <f ca="1">IF(OR(ISERROR($B82), $B82 = ""), "", IFERROR(INDEX('Summary of Results'!I:I, MATCH($A82, 'Summary of Results'!$A:$A, 0)), NA()))</f>
        <v>2.9999999999979949</v>
      </c>
      <c r="F82" s="251">
        <f ca="1">IF(OR(ISERROR($B82), $B82 = ""), "", IFERROR(INDEX('Summary of Results'!J:J, MATCH($A82, 'Summary of Results'!$A:$A, 0)), NA()))</f>
        <v>2.9999999999979949</v>
      </c>
      <c r="G82" s="251">
        <f ca="1">IF(OR(ISERROR($B82), $B82 = ""), "", IFERROR(INDEX('Summary of Results'!K:K, MATCH($A82, 'Summary of Results'!$A:$A, 0)), NA()))</f>
        <v>2.9999999999979949</v>
      </c>
      <c r="H82" s="251">
        <f ca="1">IF(OR(ISERROR($B82), $B82 = ""), "", IFERROR(INDEX('Summary of Results'!L:L, MATCH($A82, 'Summary of Results'!$A:$A, 0)), NA()))</f>
        <v>2.9999999999979949</v>
      </c>
      <c r="I82" s="252">
        <f ca="1">IF(OR(ISERROR($B82), $B82 = ""), "", IFERROR(INDEX('Summary of Results'!M:M, MATCH($A82, 'Summary of Results'!$A:$A, 0)), NA()))</f>
        <v>2.9999999999979949</v>
      </c>
      <c r="M82" s="228">
        <v>0.2</v>
      </c>
      <c r="O82" s="33">
        <v>4.6358384677685303</v>
      </c>
      <c r="P82" s="33">
        <v>4.5635642210155201</v>
      </c>
      <c r="Q82" s="33">
        <v>4.5291832567477899</v>
      </c>
      <c r="R82" s="33">
        <v>4.3083796444922502</v>
      </c>
      <c r="S82" s="33">
        <v>4.4414017630860796</v>
      </c>
      <c r="T82" s="33">
        <v>3.4320351132067</v>
      </c>
      <c r="U82" s="33">
        <v>4.1768572753239299</v>
      </c>
      <c r="V82" s="33">
        <v>1.5507486476049599</v>
      </c>
      <c r="W82" s="33">
        <v>0.143342591766663</v>
      </c>
      <c r="AB82" s="33">
        <v>4.1792091507071056</v>
      </c>
      <c r="AG82" s="229"/>
      <c r="AP82" s="26" t="s">
        <v>266</v>
      </c>
      <c r="AS82" s="1214"/>
      <c r="AT82" s="1214" t="s">
        <v>1378</v>
      </c>
      <c r="AU82" s="1214" t="s">
        <v>1392</v>
      </c>
      <c r="AV82" s="1214" t="s">
        <v>2283</v>
      </c>
      <c r="AW82" s="1214" t="s">
        <v>2284</v>
      </c>
      <c r="AX82" s="1214" t="s">
        <v>2285</v>
      </c>
      <c r="AY82" s="1214"/>
      <c r="AZ82" s="46" t="s">
        <v>2286</v>
      </c>
    </row>
    <row r="83" spans="1:52" ht="20" x14ac:dyDescent="0.2">
      <c r="A83" s="1220">
        <f>IF(ISERROR( Dashboard!C206), "", Dashboard!B206)</f>
        <v>6</v>
      </c>
      <c r="B83" s="997" t="str">
        <f>IFERROR(INDEX('Summary of Results'!$B:$B, MATCH(A83, 'Summary of Results'!$A:$A, 0)), "")</f>
        <v>Pack energy density, Wh/L</v>
      </c>
      <c r="C83" s="250">
        <f ca="1">IF(OR(ISERROR($B83), $B83 = ""), "", IFERROR(INDEX('Summary of Results'!G:G, MATCH($A83, 'Summary of Results'!$A:$A, 0)), NA()))</f>
        <v>287.68354785527009</v>
      </c>
      <c r="D83" s="251">
        <f ca="1">IF(OR(ISERROR($B83), $B83 = ""), "", IFERROR(INDEX('Summary of Results'!H:H, MATCH($A83, 'Summary of Results'!$A:$A, 0)), NA()))</f>
        <v>287.68354785527009</v>
      </c>
      <c r="E83" s="251">
        <f ca="1">IF(OR(ISERROR($B83), $B83 = ""), "", IFERROR(INDEX('Summary of Results'!I:I, MATCH($A83, 'Summary of Results'!$A:$A, 0)), NA()))</f>
        <v>287.68354785527009</v>
      </c>
      <c r="F83" s="251">
        <f ca="1">IF(OR(ISERROR($B83), $B83 = ""), "", IFERROR(INDEX('Summary of Results'!J:J, MATCH($A83, 'Summary of Results'!$A:$A, 0)), NA()))</f>
        <v>287.68354785527009</v>
      </c>
      <c r="G83" s="251">
        <f ca="1">IF(OR(ISERROR($B83), $B83 = ""), "", IFERROR(INDEX('Summary of Results'!K:K, MATCH($A83, 'Summary of Results'!$A:$A, 0)), NA()))</f>
        <v>287.68354785527009</v>
      </c>
      <c r="H83" s="251">
        <f ca="1">IF(OR(ISERROR($B83), $B83 = ""), "", IFERROR(INDEX('Summary of Results'!L:L, MATCH($A83, 'Summary of Results'!$A:$A, 0)), NA()))</f>
        <v>287.68354785527009</v>
      </c>
      <c r="I83" s="252">
        <f ca="1">IF(OR(ISERROR($B83), $B83 = ""), "", IFERROR(INDEX('Summary of Results'!M:M, MATCH($A83, 'Summary of Results'!$A:$A, 0)), NA()))</f>
        <v>287.68354785527009</v>
      </c>
      <c r="M83" s="228">
        <v>0.22500000000000001</v>
      </c>
      <c r="O83" s="33">
        <v>4.58742786659319</v>
      </c>
      <c r="P83" s="33">
        <v>4.5055912777351796</v>
      </c>
      <c r="Q83" s="33">
        <v>4.4672352916678504</v>
      </c>
      <c r="R83" s="33">
        <v>4.2593893545193504</v>
      </c>
      <c r="S83" s="33">
        <v>4.3435762828042304</v>
      </c>
      <c r="T83" s="33">
        <v>3.4320131971422501</v>
      </c>
      <c r="U83" s="33">
        <v>4.1400032571995702</v>
      </c>
      <c r="V83" s="33">
        <v>1.5500232001086001</v>
      </c>
      <c r="W83" s="33">
        <v>0.131481697129119</v>
      </c>
      <c r="AB83" s="33">
        <v>4.171030277558657</v>
      </c>
      <c r="AG83" s="229"/>
      <c r="AP83" s="8" t="s">
        <v>2287</v>
      </c>
      <c r="AQ83">
        <v>2</v>
      </c>
      <c r="AR83" t="str" cm="1">
        <f t="array" ref="AR83">INDEX($AQ$68:$AQ$74, AQ83)</f>
        <v>Aluminum</v>
      </c>
      <c r="AS83" s="7" cm="1">
        <f t="array" ref="AS83">INDEX($AS$68:$AS$74, AQ83)</f>
        <v>2.7</v>
      </c>
      <c r="AT83" s="7">
        <f>AV83*AW83</f>
        <v>2.4050000000000002</v>
      </c>
      <c r="AU83" s="7">
        <f>AX83</f>
        <v>0.08</v>
      </c>
      <c r="AV83" s="1102" cm="1">
        <f t="array" ref="AV83">INDEX($AR$68:$AR$74, AQ83)</f>
        <v>1.85</v>
      </c>
      <c r="AW83" s="38">
        <v>1.3</v>
      </c>
      <c r="AX83" s="38">
        <v>0.08</v>
      </c>
      <c r="AZ83" s="35">
        <f ca="1">AT83*'Battery Design'!G73/1000+AU83</f>
        <v>9.5292845508987964E-2</v>
      </c>
    </row>
    <row r="84" spans="1:52" ht="20" x14ac:dyDescent="0.2">
      <c r="A84" s="1220">
        <f>IF(ISERROR( Dashboard!C207), "", Dashboard!B207)</f>
        <v>7</v>
      </c>
      <c r="B84" s="997" t="str">
        <f>IFERROR(INDEX('Summary of Results'!$B:$B, MATCH(A84, 'Summary of Results'!$A:$A, 0)), "")</f>
        <v>Pack specific energy, Wh/kg</v>
      </c>
      <c r="C84" s="250">
        <f ca="1">IF(OR(ISERROR($B84), $B84 = ""), "", IFERROR(INDEX('Summary of Results'!G:G, MATCH($A84, 'Summary of Results'!$A:$A, 0)), NA()))</f>
        <v>171.83678014161953</v>
      </c>
      <c r="D84" s="251">
        <f ca="1">IF(OR(ISERROR($B84), $B84 = ""), "", IFERROR(INDEX('Summary of Results'!H:H, MATCH($A84, 'Summary of Results'!$A:$A, 0)), NA()))</f>
        <v>171.83678014161953</v>
      </c>
      <c r="E84" s="251">
        <f ca="1">IF(OR(ISERROR($B84), $B84 = ""), "", IFERROR(INDEX('Summary of Results'!I:I, MATCH($A84, 'Summary of Results'!$A:$A, 0)), NA()))</f>
        <v>171.83678014161953</v>
      </c>
      <c r="F84" s="251">
        <f ca="1">IF(OR(ISERROR($B84), $B84 = ""), "", IFERROR(INDEX('Summary of Results'!J:J, MATCH($A84, 'Summary of Results'!$A:$A, 0)), NA()))</f>
        <v>171.83678014161953</v>
      </c>
      <c r="G84" s="251">
        <f ca="1">IF(OR(ISERROR($B84), $B84 = ""), "", IFERROR(INDEX('Summary of Results'!K:K, MATCH($A84, 'Summary of Results'!$A:$A, 0)), NA()))</f>
        <v>171.83678014161953</v>
      </c>
      <c r="H84" s="251">
        <f ca="1">IF(OR(ISERROR($B84), $B84 = ""), "", IFERROR(INDEX('Summary of Results'!L:L, MATCH($A84, 'Summary of Results'!$A:$A, 0)), NA()))</f>
        <v>171.83678014161953</v>
      </c>
      <c r="I84" s="252">
        <f ca="1">IF(OR(ISERROR($B84), $B84 = ""), "", IFERROR(INDEX('Summary of Results'!M:M, MATCH($A84, 'Summary of Results'!$A:$A, 0)), NA()))</f>
        <v>171.83678014161953</v>
      </c>
      <c r="M84" s="228">
        <v>0.25</v>
      </c>
      <c r="O84" s="33">
        <v>4.5463537554432101</v>
      </c>
      <c r="P84" s="33">
        <v>4.4399523493019002</v>
      </c>
      <c r="Q84" s="33">
        <v>4.3975833527624797</v>
      </c>
      <c r="R84" s="33">
        <v>4.2239771660332197</v>
      </c>
      <c r="S84" s="33">
        <v>4.2365990735494599</v>
      </c>
      <c r="T84" s="33">
        <v>3.4320053299307598</v>
      </c>
      <c r="U84" s="33">
        <v>4.1261119451348502</v>
      </c>
      <c r="V84" s="33">
        <v>1.5494991707846799</v>
      </c>
      <c r="W84" s="33">
        <v>0.12300850697175</v>
      </c>
      <c r="AB84" s="33">
        <v>4.1615417220734585</v>
      </c>
      <c r="AG84" s="229"/>
      <c r="AP84" s="8" t="s">
        <v>2288</v>
      </c>
      <c r="AQ84">
        <v>1</v>
      </c>
      <c r="AR84" t="str" cm="1">
        <f t="array" ref="AR84">INDEX($AQ$68:$AQ$74, AQ84)</f>
        <v>Copper</v>
      </c>
      <c r="AS84" s="7" cm="1">
        <f t="array" ref="AS84">INDEX($AS$68:$AS$74, AQ84)</f>
        <v>8.9600000000000009</v>
      </c>
      <c r="AT84" s="7">
        <f>AV84*AW84</f>
        <v>8.64</v>
      </c>
      <c r="AU84" s="7">
        <f>AX84</f>
        <v>0.08</v>
      </c>
      <c r="AV84" s="1102" cm="1">
        <f t="array" ref="AV84">INDEX($AR$68:$AR$74, AQ84)</f>
        <v>8</v>
      </c>
      <c r="AW84" s="38">
        <v>1.08</v>
      </c>
      <c r="AX84" s="38">
        <v>0.08</v>
      </c>
      <c r="AZ84" s="35">
        <f ca="1">AT84*'Battery Design'!G74/1000+AU84</f>
        <v>0.20154579804122053</v>
      </c>
    </row>
    <row r="85" spans="1:52" ht="20" x14ac:dyDescent="0.2">
      <c r="A85" s="1220">
        <f>IF(ISERROR( Dashboard!C208), "", Dashboard!B208)</f>
        <v>8</v>
      </c>
      <c r="B85" s="997" t="str">
        <f>IFERROR(INDEX('Summary of Results'!$B:$B, MATCH(A85, 'Summary of Results'!$A:$A, 0)), "")</f>
        <v>Number of modules per pack</v>
      </c>
      <c r="C85" s="250">
        <f>IF(OR(ISERROR($B85), $B85 = ""), "", IFERROR(INDEX('Summary of Results'!G:G, MATCH($A85, 'Summary of Results'!$A:$A, 0)), NA()))</f>
        <v>20</v>
      </c>
      <c r="D85" s="251">
        <f>IF(OR(ISERROR($B85), $B85 = ""), "", IFERROR(INDEX('Summary of Results'!H:H, MATCH($A85, 'Summary of Results'!$A:$A, 0)), NA()))</f>
        <v>20</v>
      </c>
      <c r="E85" s="251">
        <f>IF(OR(ISERROR($B85), $B85 = ""), "", IFERROR(INDEX('Summary of Results'!I:I, MATCH($A85, 'Summary of Results'!$A:$A, 0)), NA()))</f>
        <v>20</v>
      </c>
      <c r="F85" s="251">
        <f>IF(OR(ISERROR($B85), $B85 = ""), "", IFERROR(INDEX('Summary of Results'!J:J, MATCH($A85, 'Summary of Results'!$A:$A, 0)), NA()))</f>
        <v>20</v>
      </c>
      <c r="G85" s="251">
        <f>IF(OR(ISERROR($B85), $B85 = ""), "", IFERROR(INDEX('Summary of Results'!K:K, MATCH($A85, 'Summary of Results'!$A:$A, 0)), NA()))</f>
        <v>20</v>
      </c>
      <c r="H85" s="251">
        <f>IF(OR(ISERROR($B85), $B85 = ""), "", IFERROR(INDEX('Summary of Results'!L:L, MATCH($A85, 'Summary of Results'!$A:$A, 0)), NA()))</f>
        <v>20</v>
      </c>
      <c r="I85" s="252">
        <f>IF(OR(ISERROR($B85), $B85 = ""), "", IFERROR(INDEX('Summary of Results'!M:M, MATCH($A85, 'Summary of Results'!$A:$A, 0)), NA()))</f>
        <v>20</v>
      </c>
      <c r="M85" s="228">
        <v>0.27500000000000002</v>
      </c>
      <c r="O85" s="33">
        <v>4.5022183616178397</v>
      </c>
      <c r="P85" s="33">
        <v>4.3816038605305003</v>
      </c>
      <c r="Q85" s="33">
        <v>4.3467171315930297</v>
      </c>
      <c r="R85" s="33">
        <v>4.2029714854618803</v>
      </c>
      <c r="S85" s="33">
        <v>4.2094357844247998</v>
      </c>
      <c r="T85" s="33">
        <v>3.43200230580302</v>
      </c>
      <c r="U85" s="33">
        <v>4.1206484764836899</v>
      </c>
      <c r="V85" s="33">
        <v>1.54897514146076</v>
      </c>
      <c r="W85" s="33">
        <v>0.11756017908953401</v>
      </c>
      <c r="AB85" s="33">
        <v>4.1383480021985113</v>
      </c>
      <c r="AG85" s="229"/>
      <c r="AP85" s="8" t="s">
        <v>1384</v>
      </c>
      <c r="AS85" s="7"/>
      <c r="AT85" s="7">
        <f>AV85*AW85</f>
        <v>3</v>
      </c>
      <c r="AU85" s="7">
        <f>AX85</f>
        <v>0.2</v>
      </c>
      <c r="AV85" s="38">
        <v>3</v>
      </c>
      <c r="AW85" s="38">
        <v>1</v>
      </c>
      <c r="AX85" s="38">
        <v>0.2</v>
      </c>
      <c r="AZ85" s="35">
        <f ca="1">AT85*'Battery Design'!G81/1000+AU85</f>
        <v>0.25975035090308207</v>
      </c>
    </row>
    <row r="86" spans="1:52" ht="20" x14ac:dyDescent="0.2">
      <c r="A86" s="1220">
        <f>IF(ISERROR( Dashboard!C209), "", Dashboard!B209)</f>
        <v>9</v>
      </c>
      <c r="B86" s="997" t="str">
        <f>IFERROR(INDEX('Summary of Results'!$B:$B, MATCH(A86, 'Summary of Results'!$A:$A, 0)), "")</f>
        <v>Number of cells per pack</v>
      </c>
      <c r="C86" s="250">
        <f>IF(OR(ISERROR($B86), $B86 = ""), "", IFERROR(INDEX('Summary of Results'!G:G, MATCH($A86, 'Summary of Results'!$A:$A, 0)), NA()))</f>
        <v>400</v>
      </c>
      <c r="D86" s="251">
        <f>IF(OR(ISERROR($B86), $B86 = ""), "", IFERROR(INDEX('Summary of Results'!H:H, MATCH($A86, 'Summary of Results'!$A:$A, 0)), NA()))</f>
        <v>400</v>
      </c>
      <c r="E86" s="251">
        <f>IF(OR(ISERROR($B86), $B86 = ""), "", IFERROR(INDEX('Summary of Results'!I:I, MATCH($A86, 'Summary of Results'!$A:$A, 0)), NA()))</f>
        <v>400</v>
      </c>
      <c r="F86" s="251">
        <f>IF(OR(ISERROR($B86), $B86 = ""), "", IFERROR(INDEX('Summary of Results'!J:J, MATCH($A86, 'Summary of Results'!$A:$A, 0)), NA()))</f>
        <v>400</v>
      </c>
      <c r="G86" s="251">
        <f>IF(OR(ISERROR($B86), $B86 = ""), "", IFERROR(INDEX('Summary of Results'!K:K, MATCH($A86, 'Summary of Results'!$A:$A, 0)), NA()))</f>
        <v>400</v>
      </c>
      <c r="H86" s="251">
        <f>IF(OR(ISERROR($B86), $B86 = ""), "", IFERROR(INDEX('Summary of Results'!L:L, MATCH($A86, 'Summary of Results'!$A:$A, 0)), NA()))</f>
        <v>400</v>
      </c>
      <c r="I86" s="252">
        <f>IF(OR(ISERROR($B86), $B86 = ""), "", IFERROR(INDEX('Summary of Results'!M:M, MATCH($A86, 'Summary of Results'!$A:$A, 0)), NA()))</f>
        <v>400</v>
      </c>
      <c r="M86" s="228">
        <v>0.3</v>
      </c>
      <c r="O86" s="33">
        <v>4.4537091477776496</v>
      </c>
      <c r="P86" s="33">
        <v>4.3280313791911498</v>
      </c>
      <c r="Q86" s="33">
        <v>4.29036805909963</v>
      </c>
      <c r="R86" s="33">
        <v>4.1829968642194801</v>
      </c>
      <c r="S86" s="33">
        <v>4.1673243456035598</v>
      </c>
      <c r="T86" s="33">
        <v>3.4320010647982802</v>
      </c>
      <c r="U86" s="33">
        <v>4.1182616111875898</v>
      </c>
      <c r="V86" s="33">
        <v>1.5484511121368401</v>
      </c>
      <c r="W86" s="33">
        <v>0.11424554563460899</v>
      </c>
      <c r="AB86" s="33">
        <v>4.1098846047963251</v>
      </c>
      <c r="AG86" s="229"/>
      <c r="AP86" s="8" t="s">
        <v>2289</v>
      </c>
      <c r="AQ86">
        <v>2</v>
      </c>
      <c r="AR86" t="str" cm="1">
        <f t="array" ref="AR86">INDEX($AQ$68:$AQ$74, AQ86)</f>
        <v>Aluminum</v>
      </c>
      <c r="AS86" s="7" cm="1">
        <f t="array" ref="AS86">INDEX($AS$68:$AS$74, AQ86)</f>
        <v>2.7</v>
      </c>
      <c r="AT86" s="7">
        <f>AV86*AW86</f>
        <v>2.4050000000000002</v>
      </c>
      <c r="AU86" s="7">
        <f>AX86</f>
        <v>0.15</v>
      </c>
      <c r="AV86" s="1102" cm="1">
        <f t="array" ref="AV86">INDEX($AR$68:$AR$74, AQ86)</f>
        <v>1.85</v>
      </c>
      <c r="AW86" s="38">
        <v>1.3</v>
      </c>
      <c r="AX86" s="38">
        <v>0.15</v>
      </c>
      <c r="AZ86" s="35">
        <f ca="1">AT86*'Battery Design'!G342/1000/'Battery Design'!G25+AU86</f>
        <v>0.22533654824064797</v>
      </c>
    </row>
    <row r="87" spans="1:52" ht="20" x14ac:dyDescent="0.2">
      <c r="A87" s="1220">
        <f>IF(ISERROR( Dashboard!C210), "", Dashboard!B210)</f>
        <v>10</v>
      </c>
      <c r="B87" s="997" t="str">
        <f>IFERROR(INDEX('Summary of Results'!$B:$B, MATCH(A87, 'Summary of Results'!$A:$A, 0)), "")</f>
        <v>Pack volume, L</v>
      </c>
      <c r="C87" s="250">
        <f ca="1">IF(OR(ISERROR($B87), $B87 = ""), "", IFERROR(INDEX('Summary of Results'!G:G, MATCH($A87, 'Summary of Results'!$A:$A, 0)), NA()))</f>
        <v>347.60416695891996</v>
      </c>
      <c r="D87" s="251">
        <f ca="1">IF(OR(ISERROR($B87), $B87 = ""), "", IFERROR(INDEX('Summary of Results'!H:H, MATCH($A87, 'Summary of Results'!$A:$A, 0)), NA()))</f>
        <v>347.60416695891996</v>
      </c>
      <c r="E87" s="251">
        <f ca="1">IF(OR(ISERROR($B87), $B87 = ""), "", IFERROR(INDEX('Summary of Results'!I:I, MATCH($A87, 'Summary of Results'!$A:$A, 0)), NA()))</f>
        <v>347.60416695891996</v>
      </c>
      <c r="F87" s="251">
        <f ca="1">IF(OR(ISERROR($B87), $B87 = ""), "", IFERROR(INDEX('Summary of Results'!J:J, MATCH($A87, 'Summary of Results'!$A:$A, 0)), NA()))</f>
        <v>347.60416695891996</v>
      </c>
      <c r="G87" s="251">
        <f ca="1">IF(OR(ISERROR($B87), $B87 = ""), "", IFERROR(INDEX('Summary of Results'!K:K, MATCH($A87, 'Summary of Results'!$A:$A, 0)), NA()))</f>
        <v>347.60416695891996</v>
      </c>
      <c r="H87" s="251">
        <f ca="1">IF(OR(ISERROR($B87), $B87 = ""), "", IFERROR(INDEX('Summary of Results'!L:L, MATCH($A87, 'Summary of Results'!$A:$A, 0)), NA()))</f>
        <v>347.60416695891996</v>
      </c>
      <c r="I87" s="252">
        <f ca="1">IF(OR(ISERROR($B87), $B87 = ""), "", IFERROR(INDEX('Summary of Results'!M:M, MATCH($A87, 'Summary of Results'!$A:$A, 0)), NA()))</f>
        <v>347.60416695891996</v>
      </c>
      <c r="M87" s="228">
        <v>0.32500000000000001</v>
      </c>
      <c r="O87" s="33">
        <v>4.4079748305717903</v>
      </c>
      <c r="P87" s="33">
        <v>4.2761939185689899</v>
      </c>
      <c r="Q87" s="33">
        <v>4.2414154513826103</v>
      </c>
      <c r="R87" s="33">
        <v>4.1518569621781802</v>
      </c>
      <c r="S87" s="33">
        <v>4.1274039208640998</v>
      </c>
      <c r="T87" s="33">
        <v>3.4320005229515802</v>
      </c>
      <c r="U87" s="33">
        <v>4.1169755611760204</v>
      </c>
      <c r="V87" s="33">
        <v>1.5479270828129199</v>
      </c>
      <c r="W87" s="33">
        <v>0.112243225014154</v>
      </c>
      <c r="AB87" s="33">
        <v>4.0694069103215584</v>
      </c>
      <c r="AG87" s="229"/>
      <c r="AP87" s="8" t="s">
        <v>2290</v>
      </c>
      <c r="AS87" s="7"/>
      <c r="AT87" s="7"/>
      <c r="AU87" s="106">
        <v>0.85</v>
      </c>
      <c r="AV87" s="7"/>
      <c r="AW87" s="7"/>
      <c r="AX87" s="7"/>
      <c r="AZ87" s="35"/>
    </row>
    <row r="88" spans="1:52" ht="20" x14ac:dyDescent="0.2">
      <c r="A88" s="1220">
        <f>IF(ISERROR( Dashboard!C211), "", Dashboard!B211)</f>
        <v>11</v>
      </c>
      <c r="B88" s="997" t="str">
        <f>IFERROR(INDEX('Summary of Results'!$B:$B, MATCH(A88, 'Summary of Results'!$A:$A, 0)), "")</f>
        <v>Pack total mass, kg</v>
      </c>
      <c r="C88" s="250">
        <f ca="1">IF(OR(ISERROR($B88), $B88 = ""), "", IFERROR(INDEX('Summary of Results'!G:G, MATCH($A88, 'Summary of Results'!$A:$A, 0)), NA()))</f>
        <v>581.94758955331099</v>
      </c>
      <c r="D88" s="251">
        <f ca="1">IF(OR(ISERROR($B88), $B88 = ""), "", IFERROR(INDEX('Summary of Results'!H:H, MATCH($A88, 'Summary of Results'!$A:$A, 0)), NA()))</f>
        <v>581.94758955331099</v>
      </c>
      <c r="E88" s="251">
        <f ca="1">IF(OR(ISERROR($B88), $B88 = ""), "", IFERROR(INDEX('Summary of Results'!I:I, MATCH($A88, 'Summary of Results'!$A:$A, 0)), NA()))</f>
        <v>581.94758955331099</v>
      </c>
      <c r="F88" s="251">
        <f ca="1">IF(OR(ISERROR($B88), $B88 = ""), "", IFERROR(INDEX('Summary of Results'!J:J, MATCH($A88, 'Summary of Results'!$A:$A, 0)), NA()))</f>
        <v>581.94758955331099</v>
      </c>
      <c r="G88" s="251">
        <f ca="1">IF(OR(ISERROR($B88), $B88 = ""), "", IFERROR(INDEX('Summary of Results'!K:K, MATCH($A88, 'Summary of Results'!$A:$A, 0)), NA()))</f>
        <v>581.94758955331099</v>
      </c>
      <c r="H88" s="251">
        <f ca="1">IF(OR(ISERROR($B88), $B88 = ""), "", IFERROR(INDEX('Summary of Results'!L:L, MATCH($A88, 'Summary of Results'!$A:$A, 0)), NA()))</f>
        <v>581.94758955331099</v>
      </c>
      <c r="I88" s="252">
        <f ca="1">IF(OR(ISERROR($B88), $B88 = ""), "", IFERROR(INDEX('Summary of Results'!M:M, MATCH($A88, 'Summary of Results'!$A:$A, 0)), NA()))</f>
        <v>581.94758955331099</v>
      </c>
      <c r="M88" s="228">
        <v>0.35</v>
      </c>
      <c r="O88" s="33">
        <v>4.3548768871242398</v>
      </c>
      <c r="P88" s="33">
        <v>4.23015266258379</v>
      </c>
      <c r="Q88" s="33">
        <v>4.2007075979161401</v>
      </c>
      <c r="R88" s="33">
        <v>4.1105831504944597</v>
      </c>
      <c r="S88" s="33">
        <v>4.0961924443763698</v>
      </c>
      <c r="T88" s="33">
        <v>3.4320002721246698</v>
      </c>
      <c r="U88" s="33">
        <v>4.11605023947926</v>
      </c>
      <c r="V88" s="33">
        <v>1.547403053489</v>
      </c>
      <c r="W88" s="33">
        <v>0.11098219892474</v>
      </c>
      <c r="AB88" s="33">
        <v>4.0384308318596993</v>
      </c>
      <c r="AG88" s="229"/>
      <c r="AT88" s="1214" t="s">
        <v>1376</v>
      </c>
      <c r="AU88" s="1214" t="s">
        <v>1388</v>
      </c>
      <c r="AW88" s="1214" t="s">
        <v>1376</v>
      </c>
      <c r="AX88" s="1214" t="s">
        <v>1388</v>
      </c>
      <c r="AZ88" s="35"/>
    </row>
    <row r="89" spans="1:52" ht="20" x14ac:dyDescent="0.2">
      <c r="A89" s="1220">
        <f>IF(ISERROR( Dashboard!C212), "", Dashboard!B212)</f>
        <v>12</v>
      </c>
      <c r="B89" s="997" t="str">
        <f>IFERROR(INDEX('Summary of Results'!$B:$B, MATCH(A89, 'Summary of Results'!$A:$A, 0)), "")</f>
        <v>Cell capacity, Ah</v>
      </c>
      <c r="C89" s="250">
        <f ca="1">IF(OR(ISERROR($B89), $B89 = ""), "", IFERROR(INDEX('Summary of Results'!G:G, MATCH($A89, 'Summary of Results'!$A:$A, 0)), NA()))</f>
        <v>67.939713246223192</v>
      </c>
      <c r="D89" s="251">
        <f ca="1">IF(OR(ISERROR($B89), $B89 = ""), "", IFERROR(INDEX('Summary of Results'!H:H, MATCH($A89, 'Summary of Results'!$A:$A, 0)), NA()))</f>
        <v>67.939713246223192</v>
      </c>
      <c r="E89" s="251">
        <f ca="1">IF(OR(ISERROR($B89), $B89 = ""), "", IFERROR(INDEX('Summary of Results'!I:I, MATCH($A89, 'Summary of Results'!$A:$A, 0)), NA()))</f>
        <v>67.939713246223192</v>
      </c>
      <c r="F89" s="251">
        <f ca="1">IF(OR(ISERROR($B89), $B89 = ""), "", IFERROR(INDEX('Summary of Results'!J:J, MATCH($A89, 'Summary of Results'!$A:$A, 0)), NA()))</f>
        <v>67.939713246223192</v>
      </c>
      <c r="G89" s="251">
        <f ca="1">IF(OR(ISERROR($B89), $B89 = ""), "", IFERROR(INDEX('Summary of Results'!K:K, MATCH($A89, 'Summary of Results'!$A:$A, 0)), NA()))</f>
        <v>67.939713246223192</v>
      </c>
      <c r="H89" s="251">
        <f ca="1">IF(OR(ISERROR($B89), $B89 = ""), "", IFERROR(INDEX('Summary of Results'!L:L, MATCH($A89, 'Summary of Results'!$A:$A, 0)), NA()))</f>
        <v>67.939713246223192</v>
      </c>
      <c r="I89" s="252">
        <f ca="1">IF(OR(ISERROR($B89), $B89 = ""), "", IFERROR(INDEX('Summary of Results'!M:M, MATCH($A89, 'Summary of Results'!$A:$A, 0)), NA()))</f>
        <v>67.939713246223192</v>
      </c>
      <c r="M89" s="228">
        <v>0.375</v>
      </c>
      <c r="O89" s="33">
        <v>4.2956164800346999</v>
      </c>
      <c r="P89" s="33">
        <v>4.1989247597553403</v>
      </c>
      <c r="Q89" s="33">
        <v>4.15478420653554</v>
      </c>
      <c r="R89" s="33">
        <v>4.0783730116771801</v>
      </c>
      <c r="S89" s="33">
        <v>4.0552894547656599</v>
      </c>
      <c r="T89" s="33">
        <v>3.43200014946397</v>
      </c>
      <c r="U89" s="33">
        <v>4.11518785744898</v>
      </c>
      <c r="V89" s="33">
        <v>1.5468790241650801</v>
      </c>
      <c r="W89" s="33">
        <v>0.110104797936914</v>
      </c>
      <c r="AB89" s="33">
        <v>4.0101611045432843</v>
      </c>
      <c r="AG89" s="229"/>
      <c r="AP89" s="26" t="s">
        <v>261</v>
      </c>
      <c r="AT89" s="1214" t="s">
        <v>1389</v>
      </c>
      <c r="AU89" s="1214" t="s">
        <v>1390</v>
      </c>
      <c r="AW89" s="1214" t="s">
        <v>1389</v>
      </c>
      <c r="AX89" s="1214" t="s">
        <v>1390</v>
      </c>
      <c r="AZ89" s="35"/>
    </row>
    <row r="90" spans="1:52" ht="20" x14ac:dyDescent="0.2">
      <c r="A90" s="1220">
        <f>IF(ISERROR( Dashboard!C213), "", Dashboard!B213)</f>
        <v>13</v>
      </c>
      <c r="B90" s="997" t="str">
        <f>IFERROR(INDEX('Summary of Results'!$B:$B, MATCH(A90, 'Summary of Results'!$A:$A, 0)), "")</f>
        <v>Cell nominal operating voltage, V</v>
      </c>
      <c r="C90" s="250">
        <f ca="1">IF(OR(ISERROR($B90), $B90 = ""), "", IFERROR(INDEX('Summary of Results'!G:G, MATCH($A90, 'Summary of Results'!$A:$A, 0)), NA()))</f>
        <v>3.6797329287237055</v>
      </c>
      <c r="D90" s="251">
        <f ca="1">IF(OR(ISERROR($B90), $B90 = ""), "", IFERROR(INDEX('Summary of Results'!H:H, MATCH($A90, 'Summary of Results'!$A:$A, 0)), NA()))</f>
        <v>3.6797329287237055</v>
      </c>
      <c r="E90" s="251">
        <f ca="1">IF(OR(ISERROR($B90), $B90 = ""), "", IFERROR(INDEX('Summary of Results'!I:I, MATCH($A90, 'Summary of Results'!$A:$A, 0)), NA()))</f>
        <v>3.6797329287237055</v>
      </c>
      <c r="F90" s="251">
        <f ca="1">IF(OR(ISERROR($B90), $B90 = ""), "", IFERROR(INDEX('Summary of Results'!J:J, MATCH($A90, 'Summary of Results'!$A:$A, 0)), NA()))</f>
        <v>3.6797329287237055</v>
      </c>
      <c r="G90" s="251">
        <f ca="1">IF(OR(ISERROR($B90), $B90 = ""), "", IFERROR(INDEX('Summary of Results'!K:K, MATCH($A90, 'Summary of Results'!$A:$A, 0)), NA()))</f>
        <v>3.6797329287237055</v>
      </c>
      <c r="H90" s="251">
        <f ca="1">IF(OR(ISERROR($B90), $B90 = ""), "", IFERROR(INDEX('Summary of Results'!L:L, MATCH($A90, 'Summary of Results'!$A:$A, 0)), NA()))</f>
        <v>3.6797329287237055</v>
      </c>
      <c r="I90" s="252">
        <f ca="1">IF(OR(ISERROR($B90), $B90 = ""), "", IFERROR(INDEX('Summary of Results'!M:M, MATCH($A90, 'Summary of Results'!$A:$A, 0)), NA()))</f>
        <v>3.6797329287237055</v>
      </c>
      <c r="M90" s="228">
        <v>0.4</v>
      </c>
      <c r="O90" s="33">
        <v>4.2477094663728296</v>
      </c>
      <c r="P90" s="33">
        <v>4.14918667181374</v>
      </c>
      <c r="Q90" s="33">
        <v>4.1133754787396999</v>
      </c>
      <c r="R90" s="33">
        <v>4.0444912887908604</v>
      </c>
      <c r="S90" s="33">
        <v>4.0198854690302497</v>
      </c>
      <c r="T90" s="33">
        <v>3.4320000863225402</v>
      </c>
      <c r="U90" s="33">
        <v>4.1142283733087703</v>
      </c>
      <c r="V90" s="33">
        <v>1.5463335202686801</v>
      </c>
      <c r="W90" s="33">
        <v>0.109380597657498</v>
      </c>
      <c r="AB90" s="33">
        <v>3.9930855512331545</v>
      </c>
      <c r="AG90" s="229"/>
      <c r="AP90" s="8" t="s">
        <v>2291</v>
      </c>
      <c r="AT90" s="7">
        <f>AW90</f>
        <v>2</v>
      </c>
      <c r="AU90" s="45">
        <f>AX90</f>
        <v>0.03</v>
      </c>
      <c r="AW90" s="106">
        <v>2</v>
      </c>
      <c r="AX90" s="72">
        <v>0.03</v>
      </c>
      <c r="AZ90" s="35"/>
    </row>
    <row r="91" spans="1:52" ht="20" x14ac:dyDescent="0.2">
      <c r="A91" s="1220">
        <f>IF(ISERROR( Dashboard!C214), "", Dashboard!B214)</f>
        <v>14</v>
      </c>
      <c r="B91" s="997" t="str">
        <f>IFERROR(INDEX('Summary of Results'!$B:$B, MATCH(A91, 'Summary of Results'!$A:$A, 0)), "")</f>
        <v>Positive electrode thickness, µm</v>
      </c>
      <c r="C91" s="250">
        <f ca="1">IF(OR(ISERROR($B91), $B91 = ""), "", IFERROR(INDEX('Summary of Results'!G:G, MATCH($A91, 'Summary of Results'!$A:$A, 0)), NA()))</f>
        <v>120</v>
      </c>
      <c r="D91" s="251">
        <f ca="1">IF(OR(ISERROR($B91), $B91 = ""), "", IFERROR(INDEX('Summary of Results'!H:H, MATCH($A91, 'Summary of Results'!$A:$A, 0)), NA()))</f>
        <v>120</v>
      </c>
      <c r="E91" s="251">
        <f ca="1">IF(OR(ISERROR($B91), $B91 = ""), "", IFERROR(INDEX('Summary of Results'!I:I, MATCH($A91, 'Summary of Results'!$A:$A, 0)), NA()))</f>
        <v>120</v>
      </c>
      <c r="F91" s="251">
        <f ca="1">IF(OR(ISERROR($B91), $B91 = ""), "", IFERROR(INDEX('Summary of Results'!J:J, MATCH($A91, 'Summary of Results'!$A:$A, 0)), NA()))</f>
        <v>120</v>
      </c>
      <c r="G91" s="251">
        <f ca="1">IF(OR(ISERROR($B91), $B91 = ""), "", IFERROR(INDEX('Summary of Results'!K:K, MATCH($A91, 'Summary of Results'!$A:$A, 0)), NA()))</f>
        <v>120</v>
      </c>
      <c r="H91" s="251">
        <f ca="1">IF(OR(ISERROR($B91), $B91 = ""), "", IFERROR(INDEX('Summary of Results'!L:L, MATCH($A91, 'Summary of Results'!$A:$A, 0)), NA()))</f>
        <v>120</v>
      </c>
      <c r="I91" s="252">
        <f ca="1">IF(OR(ISERROR($B91), $B91 = ""), "", IFERROR(INDEX('Summary of Results'!M:M, MATCH($A91, 'Summary of Results'!$A:$A, 0)), NA()))</f>
        <v>120</v>
      </c>
      <c r="M91" s="228">
        <v>0.42499999999999999</v>
      </c>
      <c r="O91" s="33">
        <v>4.1920362906072102</v>
      </c>
      <c r="P91" s="33">
        <v>4.1029359169428101</v>
      </c>
      <c r="Q91" s="33">
        <v>4.0687658195957397</v>
      </c>
      <c r="R91" s="33">
        <v>4.0015400094417597</v>
      </c>
      <c r="S91" s="33">
        <v>4.0007526741551303</v>
      </c>
      <c r="T91" s="33">
        <v>3.4320000522289398</v>
      </c>
      <c r="U91" s="33">
        <v>4.1130120958389202</v>
      </c>
      <c r="V91" s="33">
        <v>1.5454880153089099</v>
      </c>
      <c r="W91" s="33">
        <v>0.108626824829785</v>
      </c>
      <c r="AB91" s="33">
        <v>3.9708092183701109</v>
      </c>
      <c r="AG91" s="229"/>
      <c r="AP91" s="26"/>
      <c r="AS91" s="26"/>
      <c r="AT91" s="1214" t="s">
        <v>1376</v>
      </c>
      <c r="AU91" s="1214" t="s">
        <v>1377</v>
      </c>
      <c r="AV91" s="1343" t="s">
        <v>2282</v>
      </c>
      <c r="AW91" s="1343"/>
      <c r="AX91" s="1343" t="s">
        <v>2292</v>
      </c>
      <c r="AY91" s="1343"/>
      <c r="AZ91" s="35"/>
    </row>
    <row r="92" spans="1:52" ht="20" x14ac:dyDescent="0.2">
      <c r="A92" s="1220">
        <f>IF(ISERROR( Dashboard!C215), "", Dashboard!B215)</f>
        <v>15</v>
      </c>
      <c r="B92" s="997" t="str">
        <f>IFERROR(INDEX('Summary of Results'!$B:$B, MATCH(A92, 'Summary of Results'!$A:$A, 0)), "")</f>
        <v>Positive electode areal capacity, mAh/cm²</v>
      </c>
      <c r="C92" s="250">
        <f ca="1">IF(OR(ISERROR($B92), $B92 = ""), "", IFERROR(INDEX('Summary of Results'!G:G, MATCH($A92, 'Summary of Results'!$A:$A, 0)), NA()))</f>
        <v>5.8283984106079121</v>
      </c>
      <c r="D92" s="251">
        <f ca="1">IF(OR(ISERROR($B92), $B92 = ""), "", IFERROR(INDEX('Summary of Results'!H:H, MATCH($A92, 'Summary of Results'!$A:$A, 0)), NA()))</f>
        <v>5.8283984106079121</v>
      </c>
      <c r="E92" s="251">
        <f ca="1">IF(OR(ISERROR($B92), $B92 = ""), "", IFERROR(INDEX('Summary of Results'!I:I, MATCH($A92, 'Summary of Results'!$A:$A, 0)), NA()))</f>
        <v>5.8283984106079121</v>
      </c>
      <c r="F92" s="251">
        <f ca="1">IF(OR(ISERROR($B92), $B92 = ""), "", IFERROR(INDEX('Summary of Results'!J:J, MATCH($A92, 'Summary of Results'!$A:$A, 0)), NA()))</f>
        <v>5.8283984106079121</v>
      </c>
      <c r="G92" s="251">
        <f ca="1">IF(OR(ISERROR($B92), $B92 = ""), "", IFERROR(INDEX('Summary of Results'!K:K, MATCH($A92, 'Summary of Results'!$A:$A, 0)), NA()))</f>
        <v>5.8283984106079121</v>
      </c>
      <c r="H92" s="251">
        <f ca="1">IF(OR(ISERROR($B92), $B92 = ""), "", IFERROR(INDEX('Summary of Results'!L:L, MATCH($A92, 'Summary of Results'!$A:$A, 0)), NA()))</f>
        <v>5.8283984106079121</v>
      </c>
      <c r="I92" s="252">
        <f ca="1">IF(OR(ISERROR($B92), $B92 = ""), "", IFERROR(INDEX('Summary of Results'!M:M, MATCH($A92, 'Summary of Results'!$A:$A, 0)), NA()))</f>
        <v>5.8283984106079121</v>
      </c>
      <c r="M92" s="228">
        <v>0.45</v>
      </c>
      <c r="O92" s="33">
        <v>4.1454974585891797</v>
      </c>
      <c r="P92" s="33">
        <v>4.0622267970320802</v>
      </c>
      <c r="Q92" s="33">
        <v>4.0287015211249599</v>
      </c>
      <c r="R92" s="33">
        <v>3.9799000564773199</v>
      </c>
      <c r="S92" s="33">
        <v>3.9691483809681301</v>
      </c>
      <c r="T92" s="33">
        <v>3.4320000329848699</v>
      </c>
      <c r="U92" s="33">
        <v>4.1112802275590896</v>
      </c>
      <c r="V92" s="33">
        <v>1.5446425103491299</v>
      </c>
      <c r="W92" s="33">
        <v>0.107637878541992</v>
      </c>
      <c r="AB92" s="33">
        <v>3.9456152968082243</v>
      </c>
      <c r="AG92" s="229"/>
      <c r="AP92" s="26"/>
      <c r="AS92" s="1214"/>
      <c r="AT92" s="1214" t="s">
        <v>1378</v>
      </c>
      <c r="AU92" s="1214" t="s">
        <v>2285</v>
      </c>
      <c r="AV92" s="1214" t="s">
        <v>2283</v>
      </c>
      <c r="AW92" s="1214" t="s">
        <v>2284</v>
      </c>
      <c r="AX92" s="1214" t="s">
        <v>2293</v>
      </c>
      <c r="AY92" s="1214" t="s">
        <v>2294</v>
      </c>
      <c r="AZ92" s="15" t="s">
        <v>2286</v>
      </c>
    </row>
    <row r="93" spans="1:52" ht="20" x14ac:dyDescent="0.2">
      <c r="A93" s="1220">
        <f>IF(ISERROR( Dashboard!C216), "", Dashboard!B216)</f>
        <v>16</v>
      </c>
      <c r="B93" s="997" t="str">
        <f>IFERROR(INDEX('Summary of Results'!$B:$B, MATCH(A93, 'Summary of Results'!$A:$A, 0)), "")</f>
        <v>Negative electrode thickness, µm</v>
      </c>
      <c r="C93" s="250">
        <f ca="1">IF(OR(ISERROR($B93), $B93 = ""), "", IFERROR(INDEX('Summary of Results'!G:G, MATCH($A93, 'Summary of Results'!$A:$A, 0)), NA()))</f>
        <v>130.28605121812248</v>
      </c>
      <c r="D93" s="251">
        <f ca="1">IF(OR(ISERROR($B93), $B93 = ""), "", IFERROR(INDEX('Summary of Results'!H:H, MATCH($A93, 'Summary of Results'!$A:$A, 0)), NA()))</f>
        <v>130.28605121812248</v>
      </c>
      <c r="E93" s="251">
        <f ca="1">IF(OR(ISERROR($B93), $B93 = ""), "", IFERROR(INDEX('Summary of Results'!I:I, MATCH($A93, 'Summary of Results'!$A:$A, 0)), NA()))</f>
        <v>130.28605121812248</v>
      </c>
      <c r="F93" s="251">
        <f ca="1">IF(OR(ISERROR($B93), $B93 = ""), "", IFERROR(INDEX('Summary of Results'!J:J, MATCH($A93, 'Summary of Results'!$A:$A, 0)), NA()))</f>
        <v>130.28605121812248</v>
      </c>
      <c r="G93" s="251">
        <f ca="1">IF(OR(ISERROR($B93), $B93 = ""), "", IFERROR(INDEX('Summary of Results'!K:K, MATCH($A93, 'Summary of Results'!$A:$A, 0)), NA()))</f>
        <v>130.28605121812248</v>
      </c>
      <c r="H93" s="251">
        <f ca="1">IF(OR(ISERROR($B93), $B93 = ""), "", IFERROR(INDEX('Summary of Results'!L:L, MATCH($A93, 'Summary of Results'!$A:$A, 0)), NA()))</f>
        <v>130.28605121812248</v>
      </c>
      <c r="I93" s="252">
        <f ca="1">IF(OR(ISERROR($B93), $B93 = ""), "", IFERROR(INDEX('Summary of Results'!M:M, MATCH($A93, 'Summary of Results'!$A:$A, 0)), NA()))</f>
        <v>130.28605121812248</v>
      </c>
      <c r="M93" s="228">
        <v>0.47499999999999998</v>
      </c>
      <c r="O93" s="33">
        <v>4.0982159780029397</v>
      </c>
      <c r="P93" s="33">
        <v>4.0152396885002597</v>
      </c>
      <c r="Q93" s="33">
        <v>3.9931095664228899</v>
      </c>
      <c r="R93" s="33">
        <v>3.9491721066978802</v>
      </c>
      <c r="S93" s="33">
        <v>3.9420924748188702</v>
      </c>
      <c r="T93" s="33">
        <v>3.4320000216671702</v>
      </c>
      <c r="U93" s="33">
        <v>4.1085514439774604</v>
      </c>
      <c r="V93" s="33">
        <v>1.5437970053893599</v>
      </c>
      <c r="W93" s="33">
        <v>0.10611916520771</v>
      </c>
      <c r="AB93" s="33">
        <v>3.9161507728557456</v>
      </c>
      <c r="AG93" s="229"/>
      <c r="AP93" s="8" t="s">
        <v>2295</v>
      </c>
      <c r="AQ93">
        <v>1</v>
      </c>
      <c r="AR93" t="str" cm="1">
        <f t="array" ref="AR93">INDEX($AQ$68:$AQ$74, AQ93)</f>
        <v>Copper</v>
      </c>
      <c r="AS93" s="7" cm="1">
        <f t="array" ref="AS93">INDEX($AS$68:$AS$74, AQ93)</f>
        <v>8.9600000000000009</v>
      </c>
      <c r="AT93" s="7">
        <f>AV93*AW93</f>
        <v>8.64</v>
      </c>
      <c r="AU93" s="7">
        <f>AX93</f>
        <v>0.08</v>
      </c>
      <c r="AV93" s="1102" cm="1">
        <f t="array" ref="AV93">INDEX($AR$68:$AR$74, AQ93)</f>
        <v>8</v>
      </c>
      <c r="AW93" s="38">
        <v>1.08</v>
      </c>
      <c r="AX93" s="38">
        <v>0.08</v>
      </c>
      <c r="AY93" s="377">
        <v>0.04</v>
      </c>
      <c r="AZ93" s="112" t="s">
        <v>2296</v>
      </c>
    </row>
    <row r="94" spans="1:52" ht="20" x14ac:dyDescent="0.2">
      <c r="A94" s="1220">
        <f>IF(ISERROR( Dashboard!C217), "", Dashboard!B217)</f>
        <v>17</v>
      </c>
      <c r="B94" s="997" t="str">
        <f>IFERROR(INDEX('Summary of Results'!$B:$B, MATCH(A94, 'Summary of Results'!$A:$A, 0)), "")</f>
        <v>Negative electrode areal capacity, mAh/cm²</v>
      </c>
      <c r="C94" s="250">
        <f ca="1">IF(OR(ISERROR($B94), $B94 = ""), "", IFERROR(INDEX('Summary of Results'!G:G, MATCH($A94, 'Summary of Results'!$A:$A, 0)), NA()))</f>
        <v>6.4112382516687036</v>
      </c>
      <c r="D94" s="251">
        <f ca="1">IF(OR(ISERROR($B94), $B94 = ""), "", IFERROR(INDEX('Summary of Results'!H:H, MATCH($A94, 'Summary of Results'!$A:$A, 0)), NA()))</f>
        <v>6.4112382516687036</v>
      </c>
      <c r="E94" s="251">
        <f ca="1">IF(OR(ISERROR($B94), $B94 = ""), "", IFERROR(INDEX('Summary of Results'!I:I, MATCH($A94, 'Summary of Results'!$A:$A, 0)), NA()))</f>
        <v>6.4112382516687036</v>
      </c>
      <c r="F94" s="251">
        <f ca="1">IF(OR(ISERROR($B94), $B94 = ""), "", IFERROR(INDEX('Summary of Results'!J:J, MATCH($A94, 'Summary of Results'!$A:$A, 0)), NA()))</f>
        <v>6.4112382516687036</v>
      </c>
      <c r="G94" s="251">
        <f ca="1">IF(OR(ISERROR($B94), $B94 = ""), "", IFERROR(INDEX('Summary of Results'!K:K, MATCH($A94, 'Summary of Results'!$A:$A, 0)), NA()))</f>
        <v>6.4112382516687036</v>
      </c>
      <c r="H94" s="251">
        <f ca="1">IF(OR(ISERROR($B94), $B94 = ""), "", IFERROR(INDEX('Summary of Results'!L:L, MATCH($A94, 'Summary of Results'!$A:$A, 0)), NA()))</f>
        <v>6.4112382516687036</v>
      </c>
      <c r="I94" s="252">
        <f ca="1">IF(OR(ISERROR($B94), $B94 = ""), "", IFERROR(INDEX('Summary of Results'!M:M, MATCH($A94, 'Summary of Results'!$A:$A, 0)), NA()))</f>
        <v>6.4112382516687036</v>
      </c>
      <c r="M94" s="228">
        <v>0.5</v>
      </c>
      <c r="O94" s="33">
        <v>4.04492413453469</v>
      </c>
      <c r="P94" s="33">
        <v>3.9790312585478498</v>
      </c>
      <c r="Q94" s="33">
        <v>3.9523649734600599</v>
      </c>
      <c r="R94" s="33">
        <v>3.9186539152456201</v>
      </c>
      <c r="S94" s="33">
        <v>3.9136253756917299</v>
      </c>
      <c r="T94" s="33">
        <v>3.4320000147537999</v>
      </c>
      <c r="U94" s="33">
        <v>4.1039516566661201</v>
      </c>
      <c r="V94" s="33">
        <v>1.54295150042958</v>
      </c>
      <c r="W94" s="33">
        <v>0.103651510932195</v>
      </c>
      <c r="AB94" s="33">
        <v>3.8877320389382275</v>
      </c>
      <c r="AG94" s="229"/>
      <c r="AP94" s="9" t="s">
        <v>2297</v>
      </c>
      <c r="AS94" s="7"/>
      <c r="AT94" s="7">
        <f>AV94*AW94+AX94</f>
        <v>2.2999999999999998</v>
      </c>
      <c r="AU94" s="7">
        <f>AY94</f>
        <v>0.2</v>
      </c>
      <c r="AV94" s="106">
        <v>2</v>
      </c>
      <c r="AW94" s="377">
        <v>1</v>
      </c>
      <c r="AX94" s="106">
        <v>0.3</v>
      </c>
      <c r="AY94" s="377">
        <v>0.2</v>
      </c>
      <c r="AZ94" s="35">
        <f ca="1">'Battery Design'!G328/2/1000*AT94+AU94</f>
        <v>0.47724634632018614</v>
      </c>
    </row>
    <row r="95" spans="1:52" ht="20" x14ac:dyDescent="0.2">
      <c r="A95" s="1220">
        <f>IF(ISERROR( Dashboard!C218), "", Dashboard!B218)</f>
        <v>18</v>
      </c>
      <c r="B95" s="997" t="str">
        <f>IFERROR(INDEX('Summary of Results'!$B:$B, MATCH(A95, 'Summary of Results'!$A:$A, 0)), "")</f>
        <v>Cell energy density, Wh/L</v>
      </c>
      <c r="C95" s="250">
        <f ca="1">IF(OR(ISERROR($B95), $B95 = ""), "", IFERROR(INDEX('Summary of Results'!G:G, MATCH($A95, 'Summary of Results'!$A:$A, 0)), NA()))</f>
        <v>518.01472920537856</v>
      </c>
      <c r="D95" s="251">
        <f ca="1">IF(OR(ISERROR($B95), $B95 = ""), "", IFERROR(INDEX('Summary of Results'!H:H, MATCH($A95, 'Summary of Results'!$A:$A, 0)), NA()))</f>
        <v>518.01472920537856</v>
      </c>
      <c r="E95" s="251">
        <f ca="1">IF(OR(ISERROR($B95), $B95 = ""), "", IFERROR(INDEX('Summary of Results'!I:I, MATCH($A95, 'Summary of Results'!$A:$A, 0)), NA()))</f>
        <v>518.01472920537856</v>
      </c>
      <c r="F95" s="251">
        <f ca="1">IF(OR(ISERROR($B95), $B95 = ""), "", IFERROR(INDEX('Summary of Results'!J:J, MATCH($A95, 'Summary of Results'!$A:$A, 0)), NA()))</f>
        <v>518.01472920537856</v>
      </c>
      <c r="G95" s="251">
        <f ca="1">IF(OR(ISERROR($B95), $B95 = ""), "", IFERROR(INDEX('Summary of Results'!K:K, MATCH($A95, 'Summary of Results'!$A:$A, 0)), NA()))</f>
        <v>518.01472920537856</v>
      </c>
      <c r="H95" s="251">
        <f ca="1">IF(OR(ISERROR($B95), $B95 = ""), "", IFERROR(INDEX('Summary of Results'!L:L, MATCH($A95, 'Summary of Results'!$A:$A, 0)), NA()))</f>
        <v>518.01472920537856</v>
      </c>
      <c r="I95" s="252">
        <f ca="1">IF(OR(ISERROR($B95), $B95 = ""), "", IFERROR(INDEX('Summary of Results'!M:M, MATCH($A95, 'Summary of Results'!$A:$A, 0)), NA()))</f>
        <v>518.01472920537856</v>
      </c>
      <c r="M95" s="228">
        <v>0.52500000000000002</v>
      </c>
      <c r="O95" s="33">
        <v>3.99844216761768</v>
      </c>
      <c r="P95" s="33">
        <v>3.9372335999269801</v>
      </c>
      <c r="Q95" s="33">
        <v>3.91395831438455</v>
      </c>
      <c r="R95" s="33">
        <v>3.8901725012953499</v>
      </c>
      <c r="S95" s="33">
        <v>3.8791575674904699</v>
      </c>
      <c r="T95" s="33">
        <v>3.43200001038071</v>
      </c>
      <c r="U95" s="33">
        <v>4.0960776386035</v>
      </c>
      <c r="V95" s="33">
        <v>1.54210599546981</v>
      </c>
      <c r="W95" s="33">
        <v>9.9794374200657301E-2</v>
      </c>
      <c r="AB95" s="33">
        <v>3.8568423072230447</v>
      </c>
      <c r="AG95" s="229"/>
      <c r="AP95" s="9" t="s">
        <v>2298</v>
      </c>
      <c r="AQ95">
        <v>1</v>
      </c>
      <c r="AR95" t="str" cm="1">
        <f t="array" ref="AR95">INDEX($AQ$68:$AQ$74, AQ95)</f>
        <v>Copper</v>
      </c>
      <c r="AS95" s="7" cm="1">
        <f t="array" ref="AS95">INDEX($AS$68:$AS$74, AQ95)</f>
        <v>8.9600000000000009</v>
      </c>
      <c r="AT95" s="7">
        <f>AV95*AW95+AX95</f>
        <v>8.64</v>
      </c>
      <c r="AU95" s="7">
        <f>AY95</f>
        <v>0.18</v>
      </c>
      <c r="AV95" s="1102" cm="1">
        <f t="array" ref="AV95">INDEX($AR$68:$AR$74, AQ95)</f>
        <v>8</v>
      </c>
      <c r="AW95" s="38">
        <v>1.08</v>
      </c>
      <c r="AX95" s="106"/>
      <c r="AY95" s="377">
        <v>0.18</v>
      </c>
      <c r="AZ95" s="35">
        <f ca="1">'Battery Design'!G336/2*Lists!AT95/1000+Lists!AU95</f>
        <v>0.39095076195342593</v>
      </c>
    </row>
    <row r="96" spans="1:52" ht="20" x14ac:dyDescent="0.2">
      <c r="A96" s="1220">
        <f>IF(ISERROR( Dashboard!C219), "", Dashboard!B219)</f>
        <v>19</v>
      </c>
      <c r="B96" s="997" t="str">
        <f>IFERROR(INDEX('Summary of Results'!$B:$B, MATCH(A96, 'Summary of Results'!$A:$A, 0)), "")</f>
        <v>Cell specific energy, Wh/kg</v>
      </c>
      <c r="C96" s="250">
        <f ca="1">IF(OR(ISERROR($B96), $B96 = ""), "", IFERROR(INDEX('Summary of Results'!G:G, MATCH($A96, 'Summary of Results'!$A:$A, 0)), NA()))</f>
        <v>268.88220032304349</v>
      </c>
      <c r="D96" s="251">
        <f ca="1">IF(OR(ISERROR($B96), $B96 = ""), "", IFERROR(INDEX('Summary of Results'!H:H, MATCH($A96, 'Summary of Results'!$A:$A, 0)), NA()))</f>
        <v>268.88220032304349</v>
      </c>
      <c r="E96" s="251">
        <f ca="1">IF(OR(ISERROR($B96), $B96 = ""), "", IFERROR(INDEX('Summary of Results'!I:I, MATCH($A96, 'Summary of Results'!$A:$A, 0)), NA()))</f>
        <v>268.88220032304349</v>
      </c>
      <c r="F96" s="251">
        <f ca="1">IF(OR(ISERROR($B96), $B96 = ""), "", IFERROR(INDEX('Summary of Results'!J:J, MATCH($A96, 'Summary of Results'!$A:$A, 0)), NA()))</f>
        <v>268.88220032304349</v>
      </c>
      <c r="G96" s="251">
        <f ca="1">IF(OR(ISERROR($B96), $B96 = ""), "", IFERROR(INDEX('Summary of Results'!K:K, MATCH($A96, 'Summary of Results'!$A:$A, 0)), NA()))</f>
        <v>268.88220032304349</v>
      </c>
      <c r="H96" s="251">
        <f ca="1">IF(OR(ISERROR($B96), $B96 = ""), "", IFERROR(INDEX('Summary of Results'!L:L, MATCH($A96, 'Summary of Results'!$A:$A, 0)), NA()))</f>
        <v>268.88220032304349</v>
      </c>
      <c r="I96" s="252">
        <f ca="1">IF(OR(ISERROR($B96), $B96 = ""), "", IFERROR(INDEX('Summary of Results'!M:M, MATCH($A96, 'Summary of Results'!$A:$A, 0)), NA()))</f>
        <v>268.88220032304349</v>
      </c>
      <c r="M96" s="228">
        <v>0.55000000000000004</v>
      </c>
      <c r="O96" s="33">
        <v>3.9571365942710099</v>
      </c>
      <c r="P96" s="33">
        <v>3.9011298773294398</v>
      </c>
      <c r="Q96" s="33">
        <v>3.884386069734</v>
      </c>
      <c r="R96" s="33">
        <v>3.8527662631956399</v>
      </c>
      <c r="S96" s="33">
        <v>3.85563735779141</v>
      </c>
      <c r="T96" s="33">
        <v>3.4320000075241799</v>
      </c>
      <c r="U96" s="33">
        <v>4.0832661743525902</v>
      </c>
      <c r="V96" s="33">
        <v>1.5415483819993101</v>
      </c>
      <c r="W96" s="33">
        <v>9.4475088002876295E-2</v>
      </c>
      <c r="AB96" s="33">
        <v>3.8372125438203724</v>
      </c>
      <c r="AG96" s="229"/>
      <c r="AP96" s="9" t="s">
        <v>2299</v>
      </c>
      <c r="AQ96">
        <v>4</v>
      </c>
      <c r="AR96" t="str" cm="1">
        <f t="array" ref="AR96">INDEX($AQ$68:$AQ$74, AQ96)</f>
        <v>Stainless Steel</v>
      </c>
      <c r="AS96" s="7" cm="1">
        <f t="array" ref="AS96">INDEX($AS$68:$AS$74, AQ96)</f>
        <v>7.8</v>
      </c>
      <c r="AT96" s="7">
        <f>AV96*AW96+AX96</f>
        <v>2.4</v>
      </c>
      <c r="AU96" s="7">
        <f>AY96</f>
        <v>1.5</v>
      </c>
      <c r="AV96" s="1102" cm="1">
        <f t="array" ref="AV96">INDEX($AR$68:$AR$74, AQ96)</f>
        <v>2</v>
      </c>
      <c r="AW96" s="377">
        <v>1.2</v>
      </c>
      <c r="AX96" s="106"/>
      <c r="AY96" s="377">
        <v>1.5</v>
      </c>
      <c r="AZ96" s="35">
        <f ca="1">'Battery Design'!G348/1000*Lists!AT96+Lists!AU96</f>
        <v>3.5834391735444222</v>
      </c>
    </row>
    <row r="97" spans="1:53" ht="20" x14ac:dyDescent="0.2">
      <c r="A97" s="1220">
        <f>IF(ISERROR( Dashboard!C220), "", Dashboard!B220)</f>
        <v>20</v>
      </c>
      <c r="B97" s="997" t="str">
        <f>IFERROR(INDEX('Summary of Results'!$B:$B, MATCH(A97, 'Summary of Results'!$A:$A, 0)), "")</f>
        <v>Pack cost, $/pack</v>
      </c>
      <c r="C97" s="250">
        <f ca="1">IF(OR(ISERROR($B97), $B97 = ""), "", IFERROR(INDEX('Summary of Results'!G:G, MATCH($A97, 'Summary of Results'!$A:$A, 0)), NA()))</f>
        <v>12327.92974691336</v>
      </c>
      <c r="D97" s="251">
        <f ca="1">IF(OR(ISERROR($B97), $B97 = ""), "", IFERROR(INDEX('Summary of Results'!H:H, MATCH($A97, 'Summary of Results'!$A:$A, 0)), NA()))</f>
        <v>12327.92974691336</v>
      </c>
      <c r="E97" s="251">
        <f ca="1">IF(OR(ISERROR($B97), $B97 = ""), "", IFERROR(INDEX('Summary of Results'!I:I, MATCH($A97, 'Summary of Results'!$A:$A, 0)), NA()))</f>
        <v>12327.92974691336</v>
      </c>
      <c r="F97" s="251">
        <f ca="1">IF(OR(ISERROR($B97), $B97 = ""), "", IFERROR(INDEX('Summary of Results'!J:J, MATCH($A97, 'Summary of Results'!$A:$A, 0)), NA()))</f>
        <v>12327.92974691336</v>
      </c>
      <c r="G97" s="251">
        <f ca="1">IF(OR(ISERROR($B97), $B97 = ""), "", IFERROR(INDEX('Summary of Results'!K:K, MATCH($A97, 'Summary of Results'!$A:$A, 0)), NA()))</f>
        <v>12327.92974691336</v>
      </c>
      <c r="H97" s="251">
        <f ca="1">IF(OR(ISERROR($B97), $B97 = ""), "", IFERROR(INDEX('Summary of Results'!L:L, MATCH($A97, 'Summary of Results'!$A:$A, 0)), NA()))</f>
        <v>12327.92974691336</v>
      </c>
      <c r="I97" s="252">
        <f ca="1">IF(OR(ISERROR($B97), $B97 = ""), "", IFERROR(INDEX('Summary of Results'!M:M, MATCH($A97, 'Summary of Results'!$A:$A, 0)), NA()))</f>
        <v>12327.92974691336</v>
      </c>
      <c r="M97" s="228">
        <v>0.57499999999999996</v>
      </c>
      <c r="O97" s="33">
        <v>3.9234818138337202</v>
      </c>
      <c r="P97" s="33">
        <v>3.8611937890988699</v>
      </c>
      <c r="Q97" s="33">
        <v>3.8586755659696599</v>
      </c>
      <c r="R97" s="33">
        <v>3.8355360132182601</v>
      </c>
      <c r="S97" s="33">
        <v>3.83052988437296</v>
      </c>
      <c r="T97" s="33">
        <v>3.43200000560102</v>
      </c>
      <c r="U97" s="33">
        <v>4.0649151872343801</v>
      </c>
      <c r="V97" s="33">
        <v>1.5410073308141501</v>
      </c>
      <c r="W97" s="33">
        <v>8.8442203894409294E-2</v>
      </c>
      <c r="AB97" s="33">
        <v>3.8105621294013012</v>
      </c>
      <c r="AG97" s="229"/>
      <c r="AP97" s="9" t="s">
        <v>2300</v>
      </c>
      <c r="AS97" s="7"/>
      <c r="AT97" s="7">
        <f>AV97*AW97+AX97</f>
        <v>0</v>
      </c>
      <c r="AU97" s="7">
        <f>AY97</f>
        <v>0.5</v>
      </c>
      <c r="AV97" s="106"/>
      <c r="AW97" s="377"/>
      <c r="AX97" s="106"/>
      <c r="AY97" s="377">
        <v>0.5</v>
      </c>
      <c r="AZ97" s="35">
        <f>AU97</f>
        <v>0.5</v>
      </c>
    </row>
    <row r="98" spans="1:53" ht="20" x14ac:dyDescent="0.2">
      <c r="A98" s="1220">
        <f>IF(ISERROR( Dashboard!C221), "", Dashboard!B221)</f>
        <v>21</v>
      </c>
      <c r="B98" s="997" t="str">
        <f>IFERROR(INDEX('Summary of Results'!$B:$B, MATCH(A98, 'Summary of Results'!$A:$A, 0)), "")</f>
        <v>Pack cost, $/kWh</v>
      </c>
      <c r="C98" s="250">
        <f ca="1">IF(OR(ISERROR($B98), $B98 = ""), "", IFERROR(INDEX('Summary of Results'!G:G, MATCH($A98, 'Summary of Results'!$A:$A, 0)), NA()))</f>
        <v>123.27929746911174</v>
      </c>
      <c r="D98" s="251">
        <f ca="1">IF(OR(ISERROR($B98), $B98 = ""), "", IFERROR(INDEX('Summary of Results'!H:H, MATCH($A98, 'Summary of Results'!$A:$A, 0)), NA()))</f>
        <v>123.27929746911174</v>
      </c>
      <c r="E98" s="251">
        <f ca="1">IF(OR(ISERROR($B98), $B98 = ""), "", IFERROR(INDEX('Summary of Results'!I:I, MATCH($A98, 'Summary of Results'!$A:$A, 0)), NA()))</f>
        <v>123.27929746911174</v>
      </c>
      <c r="F98" s="251">
        <f ca="1">IF(OR(ISERROR($B98), $B98 = ""), "", IFERROR(INDEX('Summary of Results'!J:J, MATCH($A98, 'Summary of Results'!$A:$A, 0)), NA()))</f>
        <v>123.27929746911174</v>
      </c>
      <c r="G98" s="251">
        <f ca="1">IF(OR(ISERROR($B98), $B98 = ""), "", IFERROR(INDEX('Summary of Results'!K:K, MATCH($A98, 'Summary of Results'!$A:$A, 0)), NA()))</f>
        <v>123.27929746911174</v>
      </c>
      <c r="H98" s="251">
        <f ca="1">IF(OR(ISERROR($B98), $B98 = ""), "", IFERROR(INDEX('Summary of Results'!L:L, MATCH($A98, 'Summary of Results'!$A:$A, 0)), NA()))</f>
        <v>123.27929746911174</v>
      </c>
      <c r="I98" s="252">
        <f ca="1">IF(OR(ISERROR($B98), $B98 = ""), "", IFERROR(INDEX('Summary of Results'!M:M, MATCH($A98, 'Summary of Results'!$A:$A, 0)), NA()))</f>
        <v>123.27929746911174</v>
      </c>
      <c r="M98" s="228">
        <v>0.6</v>
      </c>
      <c r="O98" s="33">
        <v>3.88563222959954</v>
      </c>
      <c r="P98" s="33">
        <v>3.83993929575121</v>
      </c>
      <c r="Q98" s="33">
        <v>3.8410758420518998</v>
      </c>
      <c r="R98" s="33">
        <v>3.81121098027059</v>
      </c>
      <c r="S98" s="33">
        <v>3.8127304437720499</v>
      </c>
      <c r="T98" s="33">
        <v>3.4320000042579402</v>
      </c>
      <c r="U98" s="33">
        <v>4.0433807729456301</v>
      </c>
      <c r="V98" s="33">
        <v>1.54039475741239</v>
      </c>
      <c r="W98" s="33">
        <v>8.29840701969769E-2</v>
      </c>
      <c r="AB98" s="33">
        <v>3.7925768378735798</v>
      </c>
      <c r="AG98" s="229"/>
      <c r="AP98" s="80" t="s">
        <v>258</v>
      </c>
      <c r="AT98" s="7"/>
      <c r="AU98" s="15"/>
      <c r="AW98" s="7"/>
      <c r="AX98" s="15"/>
      <c r="AZ98" s="35"/>
    </row>
    <row r="99" spans="1:53" ht="20" x14ac:dyDescent="0.2">
      <c r="A99" s="1220">
        <f>IF(ISERROR( Dashboard!C222), "", Dashboard!B222)</f>
        <v>22</v>
      </c>
      <c r="B99" s="997" t="str">
        <f>IFERROR(INDEX('Summary of Results'!$B:$B, MATCH(A99, 'Summary of Results'!$A:$A, 0)), "")</f>
        <v>Pack cost, $/kWh(Useable)</v>
      </c>
      <c r="C99" s="250">
        <f ca="1">IF(OR(ISERROR($B99), $B99 = ""), "", IFERROR(INDEX('Summary of Results'!G:G, MATCH($A99, 'Summary of Results'!$A:$A, 0)), NA()))</f>
        <v>145.03446761071967</v>
      </c>
      <c r="D99" s="251">
        <f ca="1">IF(OR(ISERROR($B99), $B99 = ""), "", IFERROR(INDEX('Summary of Results'!H:H, MATCH($A99, 'Summary of Results'!$A:$A, 0)), NA()))</f>
        <v>145.03446761071967</v>
      </c>
      <c r="E99" s="251">
        <f ca="1">IF(OR(ISERROR($B99), $B99 = ""), "", IFERROR(INDEX('Summary of Results'!I:I, MATCH($A99, 'Summary of Results'!$A:$A, 0)), NA()))</f>
        <v>145.03446761071967</v>
      </c>
      <c r="F99" s="251">
        <f ca="1">IF(OR(ISERROR($B99), $B99 = ""), "", IFERROR(INDEX('Summary of Results'!J:J, MATCH($A99, 'Summary of Results'!$A:$A, 0)), NA()))</f>
        <v>145.03446761071967</v>
      </c>
      <c r="G99" s="251">
        <f ca="1">IF(OR(ISERROR($B99), $B99 = ""), "", IFERROR(INDEX('Summary of Results'!K:K, MATCH($A99, 'Summary of Results'!$A:$A, 0)), NA()))</f>
        <v>145.03446761071967</v>
      </c>
      <c r="H99" s="251">
        <f ca="1">IF(OR(ISERROR($B99), $B99 = ""), "", IFERROR(INDEX('Summary of Results'!L:L, MATCH($A99, 'Summary of Results'!$A:$A, 0)), NA()))</f>
        <v>145.03446761071967</v>
      </c>
      <c r="I99" s="252">
        <f ca="1">IF(OR(ISERROR($B99), $B99 = ""), "", IFERROR(INDEX('Summary of Results'!M:M, MATCH($A99, 'Summary of Results'!$A:$A, 0)), NA()))</f>
        <v>145.03446761071967</v>
      </c>
      <c r="M99" s="228">
        <v>0.625</v>
      </c>
      <c r="O99" s="33">
        <v>3.8576898925446699</v>
      </c>
      <c r="P99" s="33">
        <v>3.82352138202537</v>
      </c>
      <c r="Q99" s="33">
        <v>3.8210480884896199</v>
      </c>
      <c r="R99" s="33">
        <v>3.7954825168644799</v>
      </c>
      <c r="S99" s="33">
        <v>3.7891690252951702</v>
      </c>
      <c r="T99" s="33">
        <v>3.43200000320358</v>
      </c>
      <c r="U99" s="33">
        <v>4.0233976879073197</v>
      </c>
      <c r="V99" s="33">
        <v>1.5397377493261399</v>
      </c>
      <c r="W99" s="33">
        <v>7.8945361099266503E-2</v>
      </c>
      <c r="AB99" s="33">
        <v>3.7741910542201533</v>
      </c>
      <c r="AG99" s="229"/>
      <c r="AP99" s="9" t="s">
        <v>2301</v>
      </c>
      <c r="AQ99">
        <f>IF(_Sensitive = "Cost", 3, 6)</f>
        <v>3</v>
      </c>
      <c r="AR99" t="str" cm="1">
        <f t="array" ref="AR99">INDEX($AQ$68:$AQ$74, AQ99)</f>
        <v>Steel</v>
      </c>
      <c r="AS99" s="7" cm="1">
        <f t="array" ref="AS99">INDEX($AS$68:$AS$74, AQ99)</f>
        <v>7.8</v>
      </c>
      <c r="AT99" s="7">
        <f t="shared" ref="AT99:AT105" si="4">AV99*AW99+AX99</f>
        <v>1.325</v>
      </c>
      <c r="AU99" s="7">
        <f t="shared" ref="AU99:AU105" si="5">AY99</f>
        <v>1</v>
      </c>
      <c r="AV99" s="1102" cm="1">
        <f t="array" ref="AV99">INDEX($AR$68:$AR$74, AQ99)</f>
        <v>0.75</v>
      </c>
      <c r="AW99" s="377">
        <v>1.5</v>
      </c>
      <c r="AX99" s="106">
        <v>0.2</v>
      </c>
      <c r="AY99" s="377">
        <v>1</v>
      </c>
      <c r="AZ99" s="35">
        <f ca="1">AT99*'Battery Design'!G394+Lists!AU99</f>
        <v>17.433112217794953</v>
      </c>
      <c r="BA99" s="8" t="s">
        <v>2302</v>
      </c>
    </row>
    <row r="100" spans="1:53" ht="20" x14ac:dyDescent="0.2">
      <c r="A100" s="1220">
        <f>IF(ISERROR( Dashboard!C223), "", Dashboard!B223)</f>
        <v>23</v>
      </c>
      <c r="B100" s="997" t="str">
        <f>IFERROR(INDEX('Summary of Results'!$B:$B, MATCH(A100, 'Summary of Results'!$A:$A, 0)), "")</f>
        <v>Cell cost, $/kWh</v>
      </c>
      <c r="C100" s="250">
        <f ca="1">IF(OR(ISERROR($B100), $B100 = ""), "", IFERROR(INDEX('Summary of Results'!G:G, MATCH($A100, 'Summary of Results'!$A:$A, 0)), NA()))</f>
        <v>103.46072748956738</v>
      </c>
      <c r="D100" s="251">
        <f ca="1">IF(OR(ISERROR($B100), $B100 = ""), "", IFERROR(INDEX('Summary of Results'!H:H, MATCH($A100, 'Summary of Results'!$A:$A, 0)), NA()))</f>
        <v>103.46072748956738</v>
      </c>
      <c r="E100" s="251">
        <f ca="1">IF(OR(ISERROR($B100), $B100 = ""), "", IFERROR(INDEX('Summary of Results'!I:I, MATCH($A100, 'Summary of Results'!$A:$A, 0)), NA()))</f>
        <v>103.46072748956738</v>
      </c>
      <c r="F100" s="251">
        <f ca="1">IF(OR(ISERROR($B100), $B100 = ""), "", IFERROR(INDEX('Summary of Results'!J:J, MATCH($A100, 'Summary of Results'!$A:$A, 0)), NA()))</f>
        <v>103.46072748956738</v>
      </c>
      <c r="G100" s="251">
        <f ca="1">IF(OR(ISERROR($B100), $B100 = ""), "", IFERROR(INDEX('Summary of Results'!K:K, MATCH($A100, 'Summary of Results'!$A:$A, 0)), NA()))</f>
        <v>103.46072748956738</v>
      </c>
      <c r="H100" s="251">
        <f ca="1">IF(OR(ISERROR($B100), $B100 = ""), "", IFERROR(INDEX('Summary of Results'!L:L, MATCH($A100, 'Summary of Results'!$A:$A, 0)), NA()))</f>
        <v>103.46072748956738</v>
      </c>
      <c r="I100" s="252">
        <f ca="1">IF(OR(ISERROR($B100), $B100 = ""), "", IFERROR(INDEX('Summary of Results'!M:M, MATCH($A100, 'Summary of Results'!$A:$A, 0)), NA()))</f>
        <v>103.46072748956738</v>
      </c>
      <c r="M100" s="228">
        <v>0.65</v>
      </c>
      <c r="O100" s="33">
        <v>3.8348348451823</v>
      </c>
      <c r="P100" s="33">
        <v>3.8086727384787098</v>
      </c>
      <c r="Q100" s="33">
        <v>3.8018147173531598</v>
      </c>
      <c r="R100" s="33">
        <v>3.7824122579208801</v>
      </c>
      <c r="S100" s="33">
        <v>3.7710881287746698</v>
      </c>
      <c r="T100" s="33">
        <v>3.43200000174259</v>
      </c>
      <c r="U100" s="33">
        <v>4.0083530993984597</v>
      </c>
      <c r="V100" s="33">
        <v>1.5390807412398899</v>
      </c>
      <c r="W100" s="33">
        <v>7.6332054373787997E-2</v>
      </c>
      <c r="AB100" s="33">
        <v>3.7562217162454576</v>
      </c>
      <c r="AG100" s="229"/>
      <c r="AP100" s="8" t="s">
        <v>2303</v>
      </c>
      <c r="AR100" s="8" t="s">
        <v>2304</v>
      </c>
      <c r="AS100" s="7"/>
      <c r="AT100" s="7">
        <f t="shared" si="4"/>
        <v>1.5</v>
      </c>
      <c r="AU100" s="7">
        <f t="shared" si="5"/>
        <v>0.2</v>
      </c>
      <c r="AV100" s="106">
        <v>1</v>
      </c>
      <c r="AW100" s="377">
        <v>1.5</v>
      </c>
      <c r="AX100" s="106"/>
      <c r="AY100" s="377">
        <v>0.2</v>
      </c>
      <c r="AZ100" s="35">
        <f>AU100</f>
        <v>0.2</v>
      </c>
    </row>
    <row r="101" spans="1:53" ht="20" x14ac:dyDescent="0.2">
      <c r="A101" s="1220">
        <f>IF(ISERROR( Dashboard!C224), "", Dashboard!B224)</f>
        <v>24</v>
      </c>
      <c r="B101" s="997" t="str">
        <f>IFERROR(INDEX('Summary of Results'!$B:$B, MATCH(A101, 'Summary of Results'!$A:$A, 0)), "")</f>
        <v>Plant Size, GWh</v>
      </c>
      <c r="C101" s="250">
        <f ca="1">IF(OR(ISERROR($B101), $B101 = ""), "", IFERROR(INDEX('Summary of Results'!G:G, MATCH($A101, 'Summary of Results'!$A:$A, 0)), NA()))</f>
        <v>50.000000000008868</v>
      </c>
      <c r="D101" s="251">
        <f ca="1">IF(OR(ISERROR($B101), $B101 = ""), "", IFERROR(INDEX('Summary of Results'!H:H, MATCH($A101, 'Summary of Results'!$A:$A, 0)), NA()))</f>
        <v>50.000000000008868</v>
      </c>
      <c r="E101" s="251">
        <f ca="1">IF(OR(ISERROR($B101), $B101 = ""), "", IFERROR(INDEX('Summary of Results'!I:I, MATCH($A101, 'Summary of Results'!$A:$A, 0)), NA()))</f>
        <v>50.000000000008868</v>
      </c>
      <c r="F101" s="251">
        <f ca="1">IF(OR(ISERROR($B101), $B101 = ""), "", IFERROR(INDEX('Summary of Results'!J:J, MATCH($A101, 'Summary of Results'!$A:$A, 0)), NA()))</f>
        <v>50.000000000008868</v>
      </c>
      <c r="G101" s="251">
        <f ca="1">IF(OR(ISERROR($B101), $B101 = ""), "", IFERROR(INDEX('Summary of Results'!K:K, MATCH($A101, 'Summary of Results'!$A:$A, 0)), NA()))</f>
        <v>50.000000000008868</v>
      </c>
      <c r="H101" s="251">
        <f ca="1">IF(OR(ISERROR($B101), $B101 = ""), "", IFERROR(INDEX('Summary of Results'!L:L, MATCH($A101, 'Summary of Results'!$A:$A, 0)), NA()))</f>
        <v>50.000000000008868</v>
      </c>
      <c r="I101" s="252">
        <f ca="1">IF(OR(ISERROR($B101), $B101 = ""), "", IFERROR(INDEX('Summary of Results'!M:M, MATCH($A101, 'Summary of Results'!$A:$A, 0)), NA()))</f>
        <v>50.000000000008868</v>
      </c>
      <c r="M101" s="228">
        <v>0.67500000000000004</v>
      </c>
      <c r="O101" s="33">
        <v>3.8212602384505101</v>
      </c>
      <c r="P101" s="33">
        <v>3.7982512487933899</v>
      </c>
      <c r="Q101" s="33">
        <v>3.7842505904789401</v>
      </c>
      <c r="R101" s="33">
        <v>3.7638760727048899</v>
      </c>
      <c r="S101" s="33">
        <v>3.7574336925229601</v>
      </c>
      <c r="T101" s="33">
        <v>3.4319999961938499</v>
      </c>
      <c r="U101" s="33">
        <v>3.9984190320842798</v>
      </c>
      <c r="V101" s="33">
        <v>1.53840001272264</v>
      </c>
      <c r="W101" s="33">
        <v>7.4726783524727003E-2</v>
      </c>
      <c r="AB101" s="33">
        <v>3.7375591425827746</v>
      </c>
      <c r="AG101" s="229"/>
      <c r="AP101" s="8" t="s">
        <v>430</v>
      </c>
      <c r="AQ101">
        <v>1</v>
      </c>
      <c r="AR101" t="str" cm="1">
        <f t="array" ref="AR101">INDEX($AQ$68:$AQ$74, AQ101)</f>
        <v>Copper</v>
      </c>
      <c r="AS101" s="7" cm="1">
        <f t="array" ref="AS101">INDEX($AS$68:$AS$74, AQ101)</f>
        <v>8.9600000000000009</v>
      </c>
      <c r="AT101" s="7">
        <f t="shared" si="4"/>
        <v>8.84</v>
      </c>
      <c r="AU101" s="7">
        <f t="shared" si="5"/>
        <v>0.4</v>
      </c>
      <c r="AV101" s="1102" cm="1">
        <f t="array" ref="AV101">INDEX($AR$68:$AR$74, AQ101)</f>
        <v>8</v>
      </c>
      <c r="AW101" s="377">
        <v>1.08</v>
      </c>
      <c r="AX101" s="106">
        <v>0.2</v>
      </c>
      <c r="AY101" s="377">
        <v>0.4</v>
      </c>
      <c r="AZ101" s="35">
        <f ca="1">AT101*'Battery Design'!G453/1000+Lists!AU101</f>
        <v>0.80083435125145019</v>
      </c>
    </row>
    <row r="102" spans="1:53" ht="20" x14ac:dyDescent="0.2">
      <c r="A102" s="1220">
        <f>IF(ISERROR( Dashboard!C225), "", Dashboard!B225)</f>
        <v>25</v>
      </c>
      <c r="B102" s="997" t="str">
        <f>IFERROR(INDEX('Summary of Results'!$B:$B, MATCH(A102, 'Summary of Results'!$A:$A, 0)), "")</f>
        <v>Packs manufactured per year (packs/year)</v>
      </c>
      <c r="C102" s="250">
        <f>IF(OR(ISERROR($B102), $B102 = ""), "", IFERROR(INDEX('Summary of Results'!G:G, MATCH($A102, 'Summary of Results'!$A:$A, 0)), NA()))</f>
        <v>500000</v>
      </c>
      <c r="D102" s="251">
        <f>IF(OR(ISERROR($B102), $B102 = ""), "", IFERROR(INDEX('Summary of Results'!H:H, MATCH($A102, 'Summary of Results'!$A:$A, 0)), NA()))</f>
        <v>500000</v>
      </c>
      <c r="E102" s="251">
        <f>IF(OR(ISERROR($B102), $B102 = ""), "", IFERROR(INDEX('Summary of Results'!I:I, MATCH($A102, 'Summary of Results'!$A:$A, 0)), NA()))</f>
        <v>500000</v>
      </c>
      <c r="F102" s="251">
        <f>IF(OR(ISERROR($B102), $B102 = ""), "", IFERROR(INDEX('Summary of Results'!J:J, MATCH($A102, 'Summary of Results'!$A:$A, 0)), NA()))</f>
        <v>500000</v>
      </c>
      <c r="G102" s="251">
        <f>IF(OR(ISERROR($B102), $B102 = ""), "", IFERROR(INDEX('Summary of Results'!K:K, MATCH($A102, 'Summary of Results'!$A:$A, 0)), NA()))</f>
        <v>500000</v>
      </c>
      <c r="H102" s="251">
        <f>IF(OR(ISERROR($B102), $B102 = ""), "", IFERROR(INDEX('Summary of Results'!L:L, MATCH($A102, 'Summary of Results'!$A:$A, 0)), NA()))</f>
        <v>500000</v>
      </c>
      <c r="I102" s="252">
        <f>IF(OR(ISERROR($B102), $B102 = ""), "", IFERROR(INDEX('Summary of Results'!M:M, MATCH($A102, 'Summary of Results'!$A:$A, 0)), NA()))</f>
        <v>500000</v>
      </c>
      <c r="M102" s="228">
        <v>0.7</v>
      </c>
      <c r="O102" s="33">
        <v>3.80597056698653</v>
      </c>
      <c r="P102" s="33">
        <v>3.7888725712843301</v>
      </c>
      <c r="Q102" s="33">
        <v>3.7750481925405501</v>
      </c>
      <c r="R102" s="33">
        <v>3.7568968974125898</v>
      </c>
      <c r="S102" s="33">
        <v>3.7445167691344601</v>
      </c>
      <c r="T102" s="33">
        <v>3.4319999647480599</v>
      </c>
      <c r="U102" s="33">
        <v>3.9920461160067799</v>
      </c>
      <c r="V102" s="33">
        <v>1.5373132866836301</v>
      </c>
      <c r="W102" s="33">
        <v>7.3712328818084594E-2</v>
      </c>
      <c r="AB102" s="33">
        <v>3.717867528270129</v>
      </c>
      <c r="AG102" s="229"/>
      <c r="AP102" s="9" t="s">
        <v>1401</v>
      </c>
      <c r="AQ102">
        <v>1</v>
      </c>
      <c r="AR102" t="str" cm="1">
        <f t="array" ref="AR102">INDEX($AQ$68:$AQ$74, AQ102)</f>
        <v>Copper</v>
      </c>
      <c r="AS102" s="7" cm="1">
        <f t="array" ref="AS102">INDEX($AS$68:$AS$74, AQ102)</f>
        <v>8.9600000000000009</v>
      </c>
      <c r="AT102" s="7">
        <f t="shared" si="4"/>
        <v>8.68</v>
      </c>
      <c r="AU102" s="7">
        <f t="shared" si="5"/>
        <v>0.6</v>
      </c>
      <c r="AV102" s="1102" cm="1">
        <f t="array" ref="AV102">INDEX($AR$68:$AR$74, AQ102)</f>
        <v>8</v>
      </c>
      <c r="AW102" s="377">
        <v>1.06</v>
      </c>
      <c r="AX102" s="106">
        <v>0.2</v>
      </c>
      <c r="AY102" s="377">
        <v>0.6</v>
      </c>
      <c r="AZ102" s="35">
        <f ca="1">AT102*'Battery Design'!G454/1000+Lists!AU102</f>
        <v>9.7804168480150686</v>
      </c>
    </row>
    <row r="103" spans="1:53" ht="20" x14ac:dyDescent="0.2">
      <c r="A103" s="1220">
        <f>IF(ISERROR( Dashboard!C226), "", Dashboard!B226)</f>
        <v>26</v>
      </c>
      <c r="B103" s="997" t="str">
        <f>IFERROR(INDEX('Summary of Results'!$B:$B, MATCH(A103, 'Summary of Results'!$A:$A, 0)), "")</f>
        <v>Pack length, mm</v>
      </c>
      <c r="C103" s="250">
        <f ca="1">IF(OR(ISERROR($B103), $B103 = ""), "", IFERROR(INDEX('Summary of Results'!G:G, MATCH($A103, 'Summary of Results'!$A:$A, 0)), NA()))</f>
        <v>2154.2127918567944</v>
      </c>
      <c r="D103" s="251">
        <f ca="1">IF(OR(ISERROR($B103), $B103 = ""), "", IFERROR(INDEX('Summary of Results'!H:H, MATCH($A103, 'Summary of Results'!$A:$A, 0)), NA()))</f>
        <v>2154.2127918567944</v>
      </c>
      <c r="E103" s="251">
        <f ca="1">IF(OR(ISERROR($B103), $B103 = ""), "", IFERROR(INDEX('Summary of Results'!I:I, MATCH($A103, 'Summary of Results'!$A:$A, 0)), NA()))</f>
        <v>2154.2127918567944</v>
      </c>
      <c r="F103" s="251">
        <f ca="1">IF(OR(ISERROR($B103), $B103 = ""), "", IFERROR(INDEX('Summary of Results'!J:J, MATCH($A103, 'Summary of Results'!$A:$A, 0)), NA()))</f>
        <v>2154.2127918567944</v>
      </c>
      <c r="G103" s="251">
        <f ca="1">IF(OR(ISERROR($B103), $B103 = ""), "", IFERROR(INDEX('Summary of Results'!K:K, MATCH($A103, 'Summary of Results'!$A:$A, 0)), NA()))</f>
        <v>2154.2127918567944</v>
      </c>
      <c r="H103" s="251">
        <f ca="1">IF(OR(ISERROR($B103), $B103 = ""), "", IFERROR(INDEX('Summary of Results'!L:L, MATCH($A103, 'Summary of Results'!$A:$A, 0)), NA()))</f>
        <v>2154.2127918567944</v>
      </c>
      <c r="I103" s="252">
        <f ca="1">IF(OR(ISERROR($B103), $B103 = ""), "", IFERROR(INDEX('Summary of Results'!M:M, MATCH($A103, 'Summary of Results'!$A:$A, 0)), NA()))</f>
        <v>2154.2127918567944</v>
      </c>
      <c r="M103" s="228">
        <v>0.72499999999999998</v>
      </c>
      <c r="O103" s="33">
        <v>3.79325540512529</v>
      </c>
      <c r="P103" s="33">
        <v>3.77799604508406</v>
      </c>
      <c r="Q103" s="33">
        <v>3.7718235746154001</v>
      </c>
      <c r="R103" s="33">
        <v>3.7458381551884798</v>
      </c>
      <c r="S103" s="33">
        <v>3.7328361045588898</v>
      </c>
      <c r="T103" s="33">
        <v>3.4319997824505002</v>
      </c>
      <c r="U103" s="33">
        <v>3.9876468334786201</v>
      </c>
      <c r="V103" s="33">
        <v>1.5362102717900601</v>
      </c>
      <c r="W103" s="33">
        <v>7.3007007016228198E-2</v>
      </c>
      <c r="AB103" s="33">
        <v>3.6999030297470239</v>
      </c>
      <c r="AG103" s="229"/>
      <c r="AP103" s="8" t="s">
        <v>2305</v>
      </c>
      <c r="AQ103">
        <v>4</v>
      </c>
      <c r="AR103" t="str" cm="1">
        <f t="array" ref="AR103">INDEX($AQ$68:$AQ$74, AQ103)</f>
        <v>Stainless Steel</v>
      </c>
      <c r="AS103" s="7" cm="1">
        <f t="array" ref="AS103">INDEX($AS$68:$AS$74, AQ103)</f>
        <v>7.8</v>
      </c>
      <c r="AT103" s="7">
        <f t="shared" si="4"/>
        <v>2.8000000000000003</v>
      </c>
      <c r="AU103" s="7">
        <f t="shared" si="5"/>
        <v>0.5</v>
      </c>
      <c r="AV103" s="1102" cm="1">
        <f t="array" ref="AV103">INDEX($AR$68:$AR$74, AQ103)</f>
        <v>2</v>
      </c>
      <c r="AW103" s="106">
        <v>1.3</v>
      </c>
      <c r="AX103" s="106">
        <v>0.2</v>
      </c>
      <c r="AY103" s="106">
        <v>0.5</v>
      </c>
      <c r="AZ103" s="35">
        <f ca="1">(AT103*'Battery Design'!G403+Lists!AU103)/'Battery Design'!G28/2</f>
        <v>6.6971614376396369</v>
      </c>
    </row>
    <row r="104" spans="1:53" ht="20" x14ac:dyDescent="0.2">
      <c r="A104" s="1220">
        <f>IF(ISERROR( Dashboard!C227), "", Dashboard!B227)</f>
        <v>27</v>
      </c>
      <c r="B104" s="997" t="str">
        <f>IFERROR(INDEX('Summary of Results'!$B:$B, MATCH(A104, 'Summary of Results'!$A:$A, 0)), "")</f>
        <v>Pack width, mm</v>
      </c>
      <c r="C104" s="250">
        <f ca="1">IF(OR(ISERROR($B104), $B104 = ""), "", IFERROR(INDEX('Summary of Results'!G:G, MATCH($A104, 'Summary of Results'!$A:$A, 0)), NA()))</f>
        <v>1317.4994734562345</v>
      </c>
      <c r="D104" s="251">
        <f ca="1">IF(OR(ISERROR($B104), $B104 = ""), "", IFERROR(INDEX('Summary of Results'!H:H, MATCH($A104, 'Summary of Results'!$A:$A, 0)), NA()))</f>
        <v>1317.4994734562345</v>
      </c>
      <c r="E104" s="251">
        <f ca="1">IF(OR(ISERROR($B104), $B104 = ""), "", IFERROR(INDEX('Summary of Results'!I:I, MATCH($A104, 'Summary of Results'!$A:$A, 0)), NA()))</f>
        <v>1317.4994734562345</v>
      </c>
      <c r="F104" s="251">
        <f ca="1">IF(OR(ISERROR($B104), $B104 = ""), "", IFERROR(INDEX('Summary of Results'!J:J, MATCH($A104, 'Summary of Results'!$A:$A, 0)), NA()))</f>
        <v>1317.4994734562345</v>
      </c>
      <c r="G104" s="251">
        <f ca="1">IF(OR(ISERROR($B104), $B104 = ""), "", IFERROR(INDEX('Summary of Results'!K:K, MATCH($A104, 'Summary of Results'!$A:$A, 0)), NA()))</f>
        <v>1317.4994734562345</v>
      </c>
      <c r="H104" s="251">
        <f ca="1">IF(OR(ISERROR($B104), $B104 = ""), "", IFERROR(INDEX('Summary of Results'!L:L, MATCH($A104, 'Summary of Results'!$A:$A, 0)), NA()))</f>
        <v>1317.4994734562345</v>
      </c>
      <c r="I104" s="252">
        <f ca="1">IF(OR(ISERROR($B104), $B104 = ""), "", IFERROR(INDEX('Summary of Results'!M:M, MATCH($A104, 'Summary of Results'!$A:$A, 0)), NA()))</f>
        <v>1317.4994734562345</v>
      </c>
      <c r="M104" s="228">
        <v>0.75</v>
      </c>
      <c r="O104" s="33">
        <v>3.7883950037518601</v>
      </c>
      <c r="P104" s="33">
        <v>3.7762373485142202</v>
      </c>
      <c r="Q104" s="33">
        <v>3.7638125928277901</v>
      </c>
      <c r="R104" s="33">
        <v>3.7336076050160401</v>
      </c>
      <c r="S104" s="33">
        <v>3.7188045982753901</v>
      </c>
      <c r="T104" s="33">
        <v>3.43199877030683</v>
      </c>
      <c r="U104" s="33">
        <v>3.9841349369938399</v>
      </c>
      <c r="V104" s="33">
        <v>1.5350270477975601</v>
      </c>
      <c r="W104" s="33">
        <v>7.2448483947712805E-2</v>
      </c>
      <c r="AB104" s="33">
        <v>3.6839353923606253</v>
      </c>
      <c r="AG104" s="229"/>
      <c r="AP104" s="8" t="s">
        <v>1403</v>
      </c>
      <c r="AQ104">
        <v>4</v>
      </c>
      <c r="AR104" t="str" cm="1">
        <f t="array" ref="AR104">INDEX($AQ$68:$AQ$74, AQ104)</f>
        <v>Stainless Steel</v>
      </c>
      <c r="AS104" s="7" cm="1">
        <f t="array" ref="AS104">INDEX($AS$68:$AS$74, AQ104)</f>
        <v>7.8</v>
      </c>
      <c r="AT104" s="7">
        <f t="shared" si="4"/>
        <v>8</v>
      </c>
      <c r="AU104" s="7">
        <f t="shared" si="5"/>
        <v>1</v>
      </c>
      <c r="AV104" s="1102" cm="1">
        <f t="array" ref="AV104">INDEX($AR$68:$AR$74, AQ104)</f>
        <v>2</v>
      </c>
      <c r="AW104" s="106">
        <v>3</v>
      </c>
      <c r="AX104" s="106">
        <v>2</v>
      </c>
      <c r="AY104" s="106">
        <v>1</v>
      </c>
      <c r="AZ104" s="35">
        <f ca="1">AT104*'Battery Design'!G410+Lists!AU104</f>
        <v>9.237871201728181</v>
      </c>
    </row>
    <row r="105" spans="1:53" ht="20" x14ac:dyDescent="0.2">
      <c r="A105" s="1220">
        <f>IF(ISERROR( Dashboard!C228), "", Dashboard!B228)</f>
        <v>28</v>
      </c>
      <c r="B105" s="997" t="str">
        <f>IFERROR(INDEX('Summary of Results'!$B:$B, MATCH(A105, 'Summary of Results'!$A:$A, 0)), "")</f>
        <v>Pack height, mm</v>
      </c>
      <c r="C105" s="250">
        <f ca="1">IF(OR(ISERROR($B105), $B105 = ""), "", IFERROR(INDEX('Summary of Results'!G:G, MATCH($A105, 'Summary of Results'!$A:$A, 0)), NA()))</f>
        <v>121.20098711983185</v>
      </c>
      <c r="D105" s="251">
        <f ca="1">IF(OR(ISERROR($B105), $B105 = ""), "", IFERROR(INDEX('Summary of Results'!H:H, MATCH($A105, 'Summary of Results'!$A:$A, 0)), NA()))</f>
        <v>121.20098711983185</v>
      </c>
      <c r="E105" s="251">
        <f ca="1">IF(OR(ISERROR($B105), $B105 = ""), "", IFERROR(INDEX('Summary of Results'!I:I, MATCH($A105, 'Summary of Results'!$A:$A, 0)), NA()))</f>
        <v>121.20098711983185</v>
      </c>
      <c r="F105" s="251">
        <f ca="1">IF(OR(ISERROR($B105), $B105 = ""), "", IFERROR(INDEX('Summary of Results'!J:J, MATCH($A105, 'Summary of Results'!$A:$A, 0)), NA()))</f>
        <v>121.20098711983185</v>
      </c>
      <c r="G105" s="251">
        <f ca="1">IF(OR(ISERROR($B105), $B105 = ""), "", IFERROR(INDEX('Summary of Results'!K:K, MATCH($A105, 'Summary of Results'!$A:$A, 0)), NA()))</f>
        <v>121.20098711983185</v>
      </c>
      <c r="H105" s="251">
        <f ca="1">IF(OR(ISERROR($B105), $B105 = ""), "", IFERROR(INDEX('Summary of Results'!L:L, MATCH($A105, 'Summary of Results'!$A:$A, 0)), NA()))</f>
        <v>121.20098711983185</v>
      </c>
      <c r="I105" s="252">
        <f ca="1">IF(OR(ISERROR($B105), $B105 = ""), "", IFERROR(INDEX('Summary of Results'!M:M, MATCH($A105, 'Summary of Results'!$A:$A, 0)), NA()))</f>
        <v>121.20098711983185</v>
      </c>
      <c r="M105" s="228">
        <v>0.77500000000000002</v>
      </c>
      <c r="O105" s="33">
        <v>3.7793908440711701</v>
      </c>
      <c r="P105" s="33">
        <v>3.76725249102955</v>
      </c>
      <c r="Q105" s="33">
        <v>3.7568058868799201</v>
      </c>
      <c r="R105" s="33">
        <v>3.7180208813979299</v>
      </c>
      <c r="S105" s="33">
        <v>3.7052574473509599</v>
      </c>
      <c r="T105" s="33">
        <v>3.4319934500791698</v>
      </c>
      <c r="U105" s="33">
        <v>3.9808528019783802</v>
      </c>
      <c r="V105" s="33">
        <v>1.5330310424710401</v>
      </c>
      <c r="W105" s="33">
        <v>7.1949201778767805E-2</v>
      </c>
      <c r="AB105" s="33">
        <v>3.6701477879231001</v>
      </c>
      <c r="AG105" s="229"/>
      <c r="AP105" s="8" t="s">
        <v>1404</v>
      </c>
      <c r="AQ105">
        <v>1</v>
      </c>
      <c r="AR105" t="str" cm="1">
        <f t="array" ref="AR105">INDEX($AQ$68:$AQ$74, AQ105)</f>
        <v>Copper</v>
      </c>
      <c r="AS105" s="7" cm="1">
        <f t="array" ref="AS105">INDEX($AS$68:$AS$74, AQ105)</f>
        <v>8.9600000000000009</v>
      </c>
      <c r="AT105" s="7">
        <f t="shared" si="4"/>
        <v>8.8800000000000008</v>
      </c>
      <c r="AU105" s="7">
        <f t="shared" si="5"/>
        <v>0.75</v>
      </c>
      <c r="AV105" s="1102" cm="1">
        <f t="array" ref="AV105">INDEX($AR$68:$AR$74, AQ105)</f>
        <v>8</v>
      </c>
      <c r="AW105" s="106">
        <v>1.06</v>
      </c>
      <c r="AX105" s="106">
        <v>0.4</v>
      </c>
      <c r="AY105" s="377">
        <v>0.75</v>
      </c>
      <c r="AZ105" s="35">
        <f ca="1">AT105*'Battery Design'!G455/1000/2+Lists!AU105</f>
        <v>3.0212322749498988</v>
      </c>
    </row>
    <row r="106" spans="1:53" ht="20" x14ac:dyDescent="0.2">
      <c r="A106" s="1220" t="str">
        <f>IF(ISERROR( Dashboard!C229), "", Dashboard!B229)</f>
        <v/>
      </c>
      <c r="B106" s="997" t="str">
        <f>IFERROR(INDEX('Summary of Results'!$B:$B, MATCH(A106, 'Summary of Results'!$A:$A, 0)), "")</f>
        <v/>
      </c>
      <c r="C106" s="250" t="str">
        <f>IF(OR(ISERROR($B106), $B106 = ""), "", IFERROR(INDEX('Summary of Results'!G:G, MATCH($A106, 'Summary of Results'!$A:$A, 0)), NA()))</f>
        <v/>
      </c>
      <c r="D106" s="251" t="str">
        <f>IF(OR(ISERROR($B106), $B106 = ""), "", IFERROR(INDEX('Summary of Results'!H:H, MATCH($A106, 'Summary of Results'!$A:$A, 0)), NA()))</f>
        <v/>
      </c>
      <c r="E106" s="251" t="str">
        <f>IF(OR(ISERROR($B106), $B106 = ""), "", IFERROR(INDEX('Summary of Results'!I:I, MATCH($A106, 'Summary of Results'!$A:$A, 0)), NA()))</f>
        <v/>
      </c>
      <c r="F106" s="251" t="str">
        <f>IF(OR(ISERROR($B106), $B106 = ""), "", IFERROR(INDEX('Summary of Results'!J:J, MATCH($A106, 'Summary of Results'!$A:$A, 0)), NA()))</f>
        <v/>
      </c>
      <c r="G106" s="251" t="str">
        <f>IF(OR(ISERROR($B106), $B106 = ""), "", IFERROR(INDEX('Summary of Results'!K:K, MATCH($A106, 'Summary of Results'!$A:$A, 0)), NA()))</f>
        <v/>
      </c>
      <c r="H106" s="251" t="str">
        <f>IF(OR(ISERROR($B106), $B106 = ""), "", IFERROR(INDEX('Summary of Results'!L:L, MATCH($A106, 'Summary of Results'!$A:$A, 0)), NA()))</f>
        <v/>
      </c>
      <c r="I106" s="252" t="str">
        <f>IF(OR(ISERROR($B106), $B106 = ""), "", IFERROR(INDEX('Summary of Results'!M:M, MATCH($A106, 'Summary of Results'!$A:$A, 0)), NA()))</f>
        <v/>
      </c>
      <c r="M106" s="228">
        <v>0.8</v>
      </c>
      <c r="O106" s="33">
        <v>3.7694292121577302</v>
      </c>
      <c r="P106" s="33">
        <v>3.7642932631431298</v>
      </c>
      <c r="Q106" s="33">
        <v>3.7484293871235201</v>
      </c>
      <c r="R106" s="33">
        <v>3.7133828092971002</v>
      </c>
      <c r="S106" s="33">
        <v>3.69626813880509</v>
      </c>
      <c r="T106" s="33">
        <v>3.4319671176180599</v>
      </c>
      <c r="U106" s="33">
        <v>3.9773849492068698</v>
      </c>
      <c r="V106" s="33">
        <v>1.53019303664921</v>
      </c>
      <c r="W106" s="33">
        <v>7.1462531085526096E-2</v>
      </c>
      <c r="AB106" s="33">
        <v>3.6566010675792553</v>
      </c>
      <c r="AG106" s="229"/>
      <c r="AP106" s="8" t="s">
        <v>1152</v>
      </c>
      <c r="AQ106">
        <v>3</v>
      </c>
      <c r="AR106" t="str" cm="1">
        <f t="array" ref="AR106">INDEX($AQ$68:$AQ$74, AQ106)</f>
        <v>Steel</v>
      </c>
      <c r="AS106" s="7" cm="1">
        <f t="array" ref="AS106">INDEX($AS$68:$AS$74, AQ106)</f>
        <v>7.8</v>
      </c>
      <c r="AT106" s="7">
        <f>AV106*AW106+AX106</f>
        <v>1.325</v>
      </c>
      <c r="AU106" s="7">
        <f>AY106</f>
        <v>1</v>
      </c>
      <c r="AV106" s="1102" cm="1">
        <f t="array" ref="AV106">INDEX($AR$68:$AR$74, AQ106)</f>
        <v>0.75</v>
      </c>
      <c r="AW106" s="377">
        <v>1.5</v>
      </c>
      <c r="AX106" s="106">
        <v>0.2</v>
      </c>
      <c r="AY106" s="377">
        <v>1</v>
      </c>
      <c r="AZ106" s="35">
        <f ca="1">AU106+AT106*'Battery Design'!G434</f>
        <v>22.815128927301192</v>
      </c>
    </row>
    <row r="107" spans="1:53" ht="20" x14ac:dyDescent="0.2">
      <c r="A107" s="1220" t="str">
        <f>IF(ISERROR( Dashboard!C230), "", Dashboard!B230)</f>
        <v/>
      </c>
      <c r="B107" s="997" t="str">
        <f>IFERROR(INDEX('Summary of Results'!$B:$B, MATCH(A107, 'Summary of Results'!$A:$A, 0)), "")</f>
        <v/>
      </c>
      <c r="C107" s="250" t="str">
        <f>IF(OR(ISERROR($B107), $B107 = ""), "", IFERROR(INDEX('Summary of Results'!G:G, MATCH($A107, 'Summary of Results'!$A:$A, 0)), NA()))</f>
        <v/>
      </c>
      <c r="D107" s="251" t="str">
        <f>IF(OR(ISERROR($B107), $B107 = ""), "", IFERROR(INDEX('Summary of Results'!H:H, MATCH($A107, 'Summary of Results'!$A:$A, 0)), NA()))</f>
        <v/>
      </c>
      <c r="E107" s="251" t="str">
        <f>IF(OR(ISERROR($B107), $B107 = ""), "", IFERROR(INDEX('Summary of Results'!I:I, MATCH($A107, 'Summary of Results'!$A:$A, 0)), NA()))</f>
        <v/>
      </c>
      <c r="F107" s="251" t="str">
        <f>IF(OR(ISERROR($B107), $B107 = ""), "", IFERROR(INDEX('Summary of Results'!J:J, MATCH($A107, 'Summary of Results'!$A:$A, 0)), NA()))</f>
        <v/>
      </c>
      <c r="G107" s="251" t="str">
        <f>IF(OR(ISERROR($B107), $B107 = ""), "", IFERROR(INDEX('Summary of Results'!K:K, MATCH($A107, 'Summary of Results'!$A:$A, 0)), NA()))</f>
        <v/>
      </c>
      <c r="H107" s="251" t="str">
        <f>IF(OR(ISERROR($B107), $B107 = ""), "", IFERROR(INDEX('Summary of Results'!L:L, MATCH($A107, 'Summary of Results'!$A:$A, 0)), NA()))</f>
        <v/>
      </c>
      <c r="I107" s="252" t="str">
        <f>IF(OR(ISERROR($B107), $B107 = ""), "", IFERROR(INDEX('Summary of Results'!M:M, MATCH($A107, 'Summary of Results'!$A:$A, 0)), NA()))</f>
        <v/>
      </c>
      <c r="M107" s="228">
        <v>0.82499999999999996</v>
      </c>
      <c r="O107" s="33">
        <v>3.76009047613366</v>
      </c>
      <c r="P107" s="33">
        <v>3.7564511310527902</v>
      </c>
      <c r="Q107" s="33">
        <v>3.7437726768836099</v>
      </c>
      <c r="R107" s="33">
        <v>3.7071671264117501</v>
      </c>
      <c r="S107" s="33">
        <v>3.6867077002217501</v>
      </c>
      <c r="T107" s="33">
        <v>3.43184507444828</v>
      </c>
      <c r="U107" s="33">
        <v>3.9734067340488801</v>
      </c>
      <c r="V107" s="33">
        <v>1.5276051143552301</v>
      </c>
      <c r="W107" s="33">
        <v>7.0962562102994398E-2</v>
      </c>
      <c r="AB107" s="33">
        <v>3.6421083091436897</v>
      </c>
      <c r="AG107" s="229"/>
      <c r="AP107" s="8" t="s">
        <v>1153</v>
      </c>
      <c r="AQ107">
        <f>IF(_Sensitive = "Cost", 2, 6)</f>
        <v>2</v>
      </c>
      <c r="AR107" t="str" cm="1">
        <f t="array" ref="AR107">INDEX($AQ$68:$AQ$74, AQ107)</f>
        <v>Aluminum</v>
      </c>
      <c r="AS107" s="7" cm="1">
        <f t="array" ref="AS107">INDEX($AS$68:$AS$74, AQ107)</f>
        <v>2.7</v>
      </c>
      <c r="AT107" s="7">
        <f>AV107*AW107+AX107</f>
        <v>3.1600000000000006</v>
      </c>
      <c r="AU107" s="7">
        <f>AY107</f>
        <v>3</v>
      </c>
      <c r="AV107" s="1102" cm="1">
        <f t="array" ref="AV107">INDEX($AR$68:$AR$74, AQ107)</f>
        <v>1.85</v>
      </c>
      <c r="AW107" s="106">
        <v>1.6</v>
      </c>
      <c r="AX107" s="393">
        <v>0.2</v>
      </c>
      <c r="AY107" s="106">
        <v>3</v>
      </c>
      <c r="AZ107" s="35">
        <f ca="1">AT107*'Battery Design'!G434+Lists!AU107</f>
        <v>55.027024460582474</v>
      </c>
    </row>
    <row r="108" spans="1:53" ht="20" x14ac:dyDescent="0.2">
      <c r="A108" s="1220" t="str">
        <f>IF(ISERROR( Dashboard!C231), "", Dashboard!B231)</f>
        <v/>
      </c>
      <c r="B108" s="997" t="str">
        <f>IFERROR(INDEX('Summary of Results'!$B:$B, MATCH(A108, 'Summary of Results'!$A:$A, 0)), "")</f>
        <v/>
      </c>
      <c r="C108" s="250" t="str">
        <f>IF(OR(ISERROR($B108), $B108 = ""), "", IFERROR(INDEX('Summary of Results'!G:G, MATCH($A108, 'Summary of Results'!$A:$A, 0)), NA()))</f>
        <v/>
      </c>
      <c r="D108" s="251" t="str">
        <f>IF(OR(ISERROR($B108), $B108 = ""), "", IFERROR(INDEX('Summary of Results'!H:H, MATCH($A108, 'Summary of Results'!$A:$A, 0)), NA()))</f>
        <v/>
      </c>
      <c r="E108" s="251" t="str">
        <f>IF(OR(ISERROR($B108), $B108 = ""), "", IFERROR(INDEX('Summary of Results'!I:I, MATCH($A108, 'Summary of Results'!$A:$A, 0)), NA()))</f>
        <v/>
      </c>
      <c r="F108" s="251" t="str">
        <f>IF(OR(ISERROR($B108), $B108 = ""), "", IFERROR(INDEX('Summary of Results'!J:J, MATCH($A108, 'Summary of Results'!$A:$A, 0)), NA()))</f>
        <v/>
      </c>
      <c r="G108" s="251" t="str">
        <f>IF(OR(ISERROR($B108), $B108 = ""), "", IFERROR(INDEX('Summary of Results'!K:K, MATCH($A108, 'Summary of Results'!$A:$A, 0)), NA()))</f>
        <v/>
      </c>
      <c r="H108" s="251" t="str">
        <f>IF(OR(ISERROR($B108), $B108 = ""), "", IFERROR(INDEX('Summary of Results'!L:L, MATCH($A108, 'Summary of Results'!$A:$A, 0)), NA()))</f>
        <v/>
      </c>
      <c r="I108" s="252" t="str">
        <f>IF(OR(ISERROR($B108), $B108 = ""), "", IFERROR(INDEX('Summary of Results'!M:M, MATCH($A108, 'Summary of Results'!$A:$A, 0)), NA()))</f>
        <v/>
      </c>
      <c r="M108" s="228">
        <v>0.85</v>
      </c>
      <c r="O108" s="33">
        <v>3.7508235546009399</v>
      </c>
      <c r="P108" s="33">
        <v>3.7532949561457301</v>
      </c>
      <c r="Q108" s="33">
        <v>3.7393224913771599</v>
      </c>
      <c r="R108" s="33">
        <v>3.6933251424317599</v>
      </c>
      <c r="S108" s="33">
        <v>3.6742862207947602</v>
      </c>
      <c r="T108" s="33">
        <v>3.4313190299170602</v>
      </c>
      <c r="U108" s="33">
        <v>3.9685664137179599</v>
      </c>
      <c r="V108" s="33">
        <v>1.5191903344481601</v>
      </c>
      <c r="W108" s="33">
        <v>7.0432511605524495E-2</v>
      </c>
      <c r="AB108" s="33">
        <v>3.6302249441349779</v>
      </c>
      <c r="AG108" s="229"/>
      <c r="AP108" s="8" t="s">
        <v>1154</v>
      </c>
      <c r="AQ108">
        <f>IF(_Sensitive = "Cost", 3, 7)</f>
        <v>3</v>
      </c>
      <c r="AR108" t="str" cm="1">
        <f t="array" ref="AR108">INDEX($AQ$68:$AQ$74, AQ108)</f>
        <v>Steel</v>
      </c>
      <c r="AS108" s="7" cm="1">
        <f t="array" ref="AS108">INDEX($AS$68:$AS$74, AQ108)</f>
        <v>7.8</v>
      </c>
      <c r="AT108" s="7">
        <f>AV108*AW108+AX108</f>
        <v>1.375</v>
      </c>
      <c r="AU108" s="7">
        <f>AY108</f>
        <v>3</v>
      </c>
      <c r="AV108" s="1102" cm="1">
        <f t="array" ref="AV108">INDEX($AR$68:$AR$74, AQ108)</f>
        <v>0.75</v>
      </c>
      <c r="AW108" s="106">
        <v>1.3</v>
      </c>
      <c r="AX108" s="393">
        <v>0.4</v>
      </c>
      <c r="AY108" s="106">
        <v>3</v>
      </c>
      <c r="AZ108" s="35">
        <f ca="1">AT108*('Battery Design'!G436+'Battery Design'!G444)+Lists!AU108</f>
        <v>73.161921120207779</v>
      </c>
    </row>
    <row r="109" spans="1:53" ht="27" customHeight="1" x14ac:dyDescent="0.2">
      <c r="A109" s="1220" t="str">
        <f>IF(ISERROR( Dashboard!C232), "", Dashboard!B232)</f>
        <v/>
      </c>
      <c r="B109" s="997" t="str">
        <f>IFERROR(INDEX('Summary of Results'!$B:$B, MATCH(A109, 'Summary of Results'!$A:$A, 0)), "")</f>
        <v/>
      </c>
      <c r="C109" s="250" t="str">
        <f>IF(OR(ISERROR($B109), $B109 = ""), "", IFERROR(INDEX('Summary of Results'!G:G, MATCH($A109, 'Summary of Results'!$A:$A, 0)), NA()))</f>
        <v/>
      </c>
      <c r="D109" s="251" t="str">
        <f>IF(OR(ISERROR($B109), $B109 = ""), "", IFERROR(INDEX('Summary of Results'!H:H, MATCH($A109, 'Summary of Results'!$A:$A, 0)), NA()))</f>
        <v/>
      </c>
      <c r="E109" s="251" t="str">
        <f>IF(OR(ISERROR($B109), $B109 = ""), "", IFERROR(INDEX('Summary of Results'!I:I, MATCH($A109, 'Summary of Results'!$A:$A, 0)), NA()))</f>
        <v/>
      </c>
      <c r="F109" s="251" t="str">
        <f>IF(OR(ISERROR($B109), $B109 = ""), "", IFERROR(INDEX('Summary of Results'!J:J, MATCH($A109, 'Summary of Results'!$A:$A, 0)), NA()))</f>
        <v/>
      </c>
      <c r="G109" s="251" t="str">
        <f>IF(OR(ISERROR($B109), $B109 = ""), "", IFERROR(INDEX('Summary of Results'!K:K, MATCH($A109, 'Summary of Results'!$A:$A, 0)), NA()))</f>
        <v/>
      </c>
      <c r="H109" s="251" t="str">
        <f>IF(OR(ISERROR($B109), $B109 = ""), "", IFERROR(INDEX('Summary of Results'!L:L, MATCH($A109, 'Summary of Results'!$A:$A, 0)), NA()))</f>
        <v/>
      </c>
      <c r="I109" s="252" t="str">
        <f>IF(OR(ISERROR($B109), $B109 = ""), "", IFERROR(INDEX('Summary of Results'!M:M, MATCH($A109, 'Summary of Results'!$A:$A, 0)), NA()))</f>
        <v/>
      </c>
      <c r="M109" s="228">
        <v>0.875</v>
      </c>
      <c r="O109" s="33">
        <v>3.7444789800370999</v>
      </c>
      <c r="P109" s="33">
        <v>3.7487082935177698</v>
      </c>
      <c r="Q109" s="33">
        <v>3.7350748495257902</v>
      </c>
      <c r="R109" s="33">
        <v>3.69025751827655</v>
      </c>
      <c r="S109" s="33">
        <v>3.6630798721539302</v>
      </c>
      <c r="T109" s="33">
        <v>3.4292290476201601</v>
      </c>
      <c r="U109" s="33">
        <v>3.9623550487366002</v>
      </c>
      <c r="V109" s="33">
        <v>1.4839338002296201</v>
      </c>
      <c r="W109" s="33">
        <v>6.9854202861120096E-2</v>
      </c>
      <c r="AB109" s="33">
        <v>3.6193476136369904</v>
      </c>
      <c r="AG109" s="229"/>
      <c r="AP109" s="8" t="s">
        <v>2306</v>
      </c>
      <c r="AS109" s="1185">
        <v>3.2000000000000001E-2</v>
      </c>
      <c r="AT109" s="106">
        <v>3</v>
      </c>
      <c r="AU109" s="324"/>
      <c r="AW109" s="7"/>
      <c r="AX109" s="7"/>
      <c r="AZ109" s="394">
        <f ca="1">AT109*('Battery Design'!G437+'Battery Design'!G445)</f>
        <v>18.749923696576886</v>
      </c>
    </row>
    <row r="110" spans="1:53" ht="20" x14ac:dyDescent="0.2">
      <c r="A110" s="1220" t="str">
        <f>IF(ISERROR( Dashboard!C233), "", Dashboard!B233)</f>
        <v/>
      </c>
      <c r="B110" s="997" t="str">
        <f>IFERROR(INDEX('Summary of Results'!$B:$B, MATCH(A110, 'Summary of Results'!$A:$A, 0)), "")</f>
        <v/>
      </c>
      <c r="C110" s="250" t="str">
        <f>IF(OR(ISERROR($B110), $B110 = ""), "", IFERROR(INDEX('Summary of Results'!G:G, MATCH($A110, 'Summary of Results'!$A:$A, 0)), NA()))</f>
        <v/>
      </c>
      <c r="D110" s="251" t="str">
        <f>IF(OR(ISERROR($B110), $B110 = ""), "", IFERROR(INDEX('Summary of Results'!H:H, MATCH($A110, 'Summary of Results'!$A:$A, 0)), NA()))</f>
        <v/>
      </c>
      <c r="E110" s="251" t="str">
        <f>IF(OR(ISERROR($B110), $B110 = ""), "", IFERROR(INDEX('Summary of Results'!I:I, MATCH($A110, 'Summary of Results'!$A:$A, 0)), NA()))</f>
        <v/>
      </c>
      <c r="F110" s="251" t="str">
        <f>IF(OR(ISERROR($B110), $B110 = ""), "", IFERROR(INDEX('Summary of Results'!J:J, MATCH($A110, 'Summary of Results'!$A:$A, 0)), NA()))</f>
        <v/>
      </c>
      <c r="G110" s="251" t="str">
        <f>IF(OR(ISERROR($B110), $B110 = ""), "", IFERROR(INDEX('Summary of Results'!K:K, MATCH($A110, 'Summary of Results'!$A:$A, 0)), NA()))</f>
        <v/>
      </c>
      <c r="H110" s="251" t="str">
        <f>IF(OR(ISERROR($B110), $B110 = ""), "", IFERROR(INDEX('Summary of Results'!L:L, MATCH($A110, 'Summary of Results'!$A:$A, 0)), NA()))</f>
        <v/>
      </c>
      <c r="I110" s="252" t="str">
        <f>IF(OR(ISERROR($B110), $B110 = ""), "", IFERROR(INDEX('Summary of Results'!M:M, MATCH($A110, 'Summary of Results'!$A:$A, 0)), NA()))</f>
        <v/>
      </c>
      <c r="M110" s="228">
        <v>0.9</v>
      </c>
      <c r="O110" s="33">
        <v>3.73291114426697</v>
      </c>
      <c r="P110" s="33">
        <v>3.7387681426065398</v>
      </c>
      <c r="Q110" s="33">
        <v>3.73153467505748</v>
      </c>
      <c r="R110" s="33">
        <v>3.6815377641939802</v>
      </c>
      <c r="S110" s="33">
        <v>3.6554021276109601</v>
      </c>
      <c r="T110" s="33">
        <v>3.4216686037205499</v>
      </c>
      <c r="U110" s="33">
        <v>3.9538742205180699</v>
      </c>
      <c r="V110" s="33">
        <v>1.4304538766519801</v>
      </c>
      <c r="W110" s="33">
        <v>6.9164291859371299E-2</v>
      </c>
      <c r="AB110" s="33">
        <v>3.6100482528011879</v>
      </c>
      <c r="AG110" s="229"/>
      <c r="AP110" s="8" t="s">
        <v>2290</v>
      </c>
      <c r="AS110" s="7"/>
      <c r="AT110" s="7"/>
      <c r="AU110" s="106">
        <v>0.85</v>
      </c>
      <c r="AV110" s="7"/>
      <c r="AW110" s="7"/>
      <c r="AX110" s="392"/>
      <c r="AZ110" s="35">
        <f ca="1">AZ107+AZ108+AZ109</f>
        <v>146.93886927736713</v>
      </c>
    </row>
    <row r="111" spans="1:53" ht="21" thickBot="1" x14ac:dyDescent="0.25">
      <c r="A111" s="1220" t="str">
        <f>IF(ISERROR( Dashboard!C234), "", Dashboard!B234)</f>
        <v/>
      </c>
      <c r="B111" s="998" t="str">
        <f>IFERROR(INDEX('Summary of Results'!$B:$B, MATCH(A111, 'Summary of Results'!$A:$A, 0)), "")</f>
        <v/>
      </c>
      <c r="C111" s="250" t="str">
        <f>IF(OR(ISERROR($B111), $B111 = ""), "", IFERROR(INDEX('Summary of Results'!G:G, MATCH($A111, 'Summary of Results'!$A:$A, 0)), NA()))</f>
        <v/>
      </c>
      <c r="D111" s="251" t="str">
        <f>IF(OR(ISERROR($B111), $B111 = ""), "", IFERROR(INDEX('Summary of Results'!H:H, MATCH($A111, 'Summary of Results'!$A:$A, 0)), NA()))</f>
        <v/>
      </c>
      <c r="E111" s="251" t="str">
        <f>IF(OR(ISERROR($B111), $B111 = ""), "", IFERROR(INDEX('Summary of Results'!I:I, MATCH($A111, 'Summary of Results'!$A:$A, 0)), NA()))</f>
        <v/>
      </c>
      <c r="F111" s="251" t="str">
        <f>IF(OR(ISERROR($B111), $B111 = ""), "", IFERROR(INDEX('Summary of Results'!J:J, MATCH($A111, 'Summary of Results'!$A:$A, 0)), NA()))</f>
        <v/>
      </c>
      <c r="G111" s="251" t="str">
        <f>IF(OR(ISERROR($B111), $B111 = ""), "", IFERROR(INDEX('Summary of Results'!K:K, MATCH($A111, 'Summary of Results'!$A:$A, 0)), NA()))</f>
        <v/>
      </c>
      <c r="H111" s="251" t="str">
        <f>IF(OR(ISERROR($B111), $B111 = ""), "", IFERROR(INDEX('Summary of Results'!L:L, MATCH($A111, 'Summary of Results'!$A:$A, 0)), NA()))</f>
        <v/>
      </c>
      <c r="I111" s="252" t="str">
        <f>IF(OR(ISERROR($B111), $B111 = ""), "", IFERROR(INDEX('Summary of Results'!M:M, MATCH($A111, 'Summary of Results'!$A:$A, 0)), NA()))</f>
        <v/>
      </c>
      <c r="M111" s="228">
        <v>0.92500000000000004</v>
      </c>
      <c r="O111" s="33">
        <v>3.7176342614041999</v>
      </c>
      <c r="P111" s="33">
        <v>3.7355642194705601</v>
      </c>
      <c r="Q111" s="33">
        <v>3.72345527500041</v>
      </c>
      <c r="R111" s="33">
        <v>3.6729917792658502</v>
      </c>
      <c r="S111" s="33">
        <v>3.65033890227576</v>
      </c>
      <c r="T111" s="33">
        <v>3.39721461095573</v>
      </c>
      <c r="U111" s="33">
        <v>3.9412408803984098</v>
      </c>
      <c r="V111" s="33">
        <v>1.3650164220183401</v>
      </c>
      <c r="W111" s="33">
        <v>6.7894368818130296E-2</v>
      </c>
      <c r="AB111" s="33">
        <v>3.5948573993859818</v>
      </c>
      <c r="AG111" s="229"/>
      <c r="AP111" s="8"/>
      <c r="AS111" s="7"/>
      <c r="AT111" s="391"/>
      <c r="AU111" s="324"/>
      <c r="AW111" s="7"/>
      <c r="AX111" s="392"/>
      <c r="AY111" s="7"/>
    </row>
    <row r="112" spans="1:53" ht="20" x14ac:dyDescent="0.2">
      <c r="A112" s="1220" t="str">
        <f>IF(ISERROR( Dashboard!C235), "", Dashboard!B235)</f>
        <v/>
      </c>
      <c r="B112" s="995" t="str">
        <f>IFERROR(INDEX('Summary of Results'!$B:$B, MATCH(A112, 'Summary of Results'!$A:$A, 0)), "")</f>
        <v/>
      </c>
      <c r="C112" s="250" t="str">
        <f>IF(OR(ISERROR($B112), $B112 = ""), "", IFERROR(INDEX('Summary of Results'!G:G, MATCH($A112, 'Summary of Results'!$A:$A, 0)), NA()))</f>
        <v/>
      </c>
      <c r="D112" s="251" t="str">
        <f>IF(OR(ISERROR($B112), $B112 = ""), "", IFERROR(INDEX('Summary of Results'!H:H, MATCH($A112, 'Summary of Results'!$A:$A, 0)), NA()))</f>
        <v/>
      </c>
      <c r="E112" s="251" t="str">
        <f>IF(OR(ISERROR($B112), $B112 = ""), "", IFERROR(INDEX('Summary of Results'!I:I, MATCH($A112, 'Summary of Results'!$A:$A, 0)), NA()))</f>
        <v/>
      </c>
      <c r="F112" s="251" t="str">
        <f>IF(OR(ISERROR($B112), $B112 = ""), "", IFERROR(INDEX('Summary of Results'!J:J, MATCH($A112, 'Summary of Results'!$A:$A, 0)), NA()))</f>
        <v/>
      </c>
      <c r="G112" s="251" t="str">
        <f>IF(OR(ISERROR($B112), $B112 = ""), "", IFERROR(INDEX('Summary of Results'!K:K, MATCH($A112, 'Summary of Results'!$A:$A, 0)), NA()))</f>
        <v/>
      </c>
      <c r="H112" s="251" t="str">
        <f>IF(OR(ISERROR($B112), $B112 = ""), "", IFERROR(INDEX('Summary of Results'!L:L, MATCH($A112, 'Summary of Results'!$A:$A, 0)), NA()))</f>
        <v/>
      </c>
      <c r="I112" s="252" t="str">
        <f>IF(OR(ISERROR($B112), $B112 = ""), "", IFERROR(INDEX('Summary of Results'!M:M, MATCH($A112, 'Summary of Results'!$A:$A, 0)), NA()))</f>
        <v/>
      </c>
      <c r="M112" s="228">
        <v>0.95</v>
      </c>
      <c r="O112" s="33">
        <v>3.7046850749205702</v>
      </c>
      <c r="P112" s="33">
        <v>3.7208165201221099</v>
      </c>
      <c r="Q112" s="33">
        <v>3.7167554549472999</v>
      </c>
      <c r="R112" s="33">
        <v>3.6643194386983202</v>
      </c>
      <c r="S112" s="33">
        <v>3.64259784731254</v>
      </c>
      <c r="T112" s="33">
        <v>3.32860336251612</v>
      </c>
      <c r="U112" s="33">
        <v>3.9194847831628898</v>
      </c>
      <c r="V112" s="33">
        <v>1.30262051420838</v>
      </c>
      <c r="W112" s="33">
        <v>6.22966222123097E-2</v>
      </c>
      <c r="AB112" s="33">
        <v>3.580891851644846</v>
      </c>
      <c r="AG112" s="229"/>
      <c r="AP112" s="8"/>
      <c r="AS112" s="7"/>
      <c r="AT112" s="391"/>
      <c r="AU112" s="324"/>
      <c r="AW112" s="7"/>
      <c r="AX112" s="392"/>
      <c r="AY112" s="7"/>
    </row>
    <row r="113" spans="1:51" ht="20" x14ac:dyDescent="0.2">
      <c r="A113" s="1220" t="str">
        <f>IF(ISERROR( Dashboard!C236), "", Dashboard!B236)</f>
        <v/>
      </c>
      <c r="B113" s="249" t="str">
        <f>IFERROR(INDEX('Summary of Results'!$B:$B, MATCH(A113, 'Summary of Results'!$A:$A, 0)), "")</f>
        <v/>
      </c>
      <c r="C113" s="250" t="str">
        <f>IF(OR(ISERROR($B113), $B113 = ""), "", IFERROR(INDEX('Summary of Results'!G:G, MATCH($A113, 'Summary of Results'!$A:$A, 0)), NA()))</f>
        <v/>
      </c>
      <c r="D113" s="251" t="str">
        <f>IF(OR(ISERROR($B113), $B113 = ""), "", IFERROR(INDEX('Summary of Results'!H:H, MATCH($A113, 'Summary of Results'!$A:$A, 0)), NA()))</f>
        <v/>
      </c>
      <c r="E113" s="251" t="str">
        <f>IF(OR(ISERROR($B113), $B113 = ""), "", IFERROR(INDEX('Summary of Results'!I:I, MATCH($A113, 'Summary of Results'!$A:$A, 0)), NA()))</f>
        <v/>
      </c>
      <c r="F113" s="251" t="str">
        <f>IF(OR(ISERROR($B113), $B113 = ""), "", IFERROR(INDEX('Summary of Results'!J:J, MATCH($A113, 'Summary of Results'!$A:$A, 0)), NA()))</f>
        <v/>
      </c>
      <c r="G113" s="251" t="str">
        <f>IF(OR(ISERROR($B113), $B113 = ""), "", IFERROR(INDEX('Summary of Results'!K:K, MATCH($A113, 'Summary of Results'!$A:$A, 0)), NA()))</f>
        <v/>
      </c>
      <c r="H113" s="251" t="str">
        <f>IF(OR(ISERROR($B113), $B113 = ""), "", IFERROR(INDEX('Summary of Results'!L:L, MATCH($A113, 'Summary of Results'!$A:$A, 0)), NA()))</f>
        <v/>
      </c>
      <c r="I113" s="252" t="str">
        <f>IF(OR(ISERROR($B113), $B113 = ""), "", IFERROR(INDEX('Summary of Results'!M:M, MATCH($A113, 'Summary of Results'!$A:$A, 0)), NA()))</f>
        <v/>
      </c>
      <c r="M113" s="228">
        <v>0.97499999999999998</v>
      </c>
      <c r="O113" s="33">
        <v>3.6931289831554199</v>
      </c>
      <c r="P113" s="33">
        <v>3.7212326868265801</v>
      </c>
      <c r="Q113" s="33">
        <v>3.7108934642783602</v>
      </c>
      <c r="R113" s="33">
        <v>3.6561497505155902</v>
      </c>
      <c r="S113" s="33">
        <v>3.6375822697596401</v>
      </c>
      <c r="T113" s="33">
        <v>3.1718426878756101</v>
      </c>
      <c r="U113" s="33">
        <v>3.8679930173082</v>
      </c>
      <c r="V113" s="33">
        <v>1.2361261514195501</v>
      </c>
      <c r="W113" s="33">
        <v>2.7548970022251498E-2</v>
      </c>
      <c r="AB113" s="33">
        <v>3.5560224483484877</v>
      </c>
      <c r="AG113" s="229"/>
      <c r="AP113" s="8"/>
      <c r="AS113" s="7"/>
      <c r="AT113" s="391"/>
      <c r="AU113" s="324"/>
      <c r="AW113" s="7"/>
      <c r="AX113" s="392"/>
      <c r="AY113" s="7"/>
    </row>
    <row r="114" spans="1:51" ht="20" x14ac:dyDescent="0.2">
      <c r="A114" s="1220" t="str">
        <f>IF(ISERROR( Dashboard!C239), "", Dashboard!B239)</f>
        <v/>
      </c>
      <c r="B114" s="249" t="str">
        <f>IFERROR(INDEX('Summary of Results'!$B:$B, MATCH(A114, 'Summary of Results'!$A:$A, 0)), "")</f>
        <v/>
      </c>
      <c r="C114" s="250" t="str">
        <f>IF(OR(ISERROR($B114), $B114 = ""), "", IFERROR(INDEX('Summary of Results'!G:G, MATCH($A114, 'Summary of Results'!$A:$A, 0)), NA()))</f>
        <v/>
      </c>
      <c r="D114" s="251" t="str">
        <f>IF(OR(ISERROR($B114), $B114 = ""), "", IFERROR(INDEX('Summary of Results'!H:H, MATCH($A114, 'Summary of Results'!$A:$A, 0)), NA()))</f>
        <v/>
      </c>
      <c r="E114" s="251" t="str">
        <f>IF(OR(ISERROR($B114), $B114 = ""), "", IFERROR(INDEX('Summary of Results'!I:I, MATCH($A114, 'Summary of Results'!$A:$A, 0)), NA()))</f>
        <v/>
      </c>
      <c r="F114" s="251" t="str">
        <f>IF(OR(ISERROR($B114), $B114 = ""), "", IFERROR(INDEX('Summary of Results'!J:J, MATCH($A114, 'Summary of Results'!$A:$A, 0)), NA()))</f>
        <v/>
      </c>
      <c r="G114" s="251" t="str">
        <f>IF(OR(ISERROR($B114), $B114 = ""), "", IFERROR(INDEX('Summary of Results'!K:K, MATCH($A114, 'Summary of Results'!$A:$A, 0)), NA()))</f>
        <v/>
      </c>
      <c r="H114" s="251" t="str">
        <f>IF(OR(ISERROR($B114), $B114 = ""), "", IFERROR(INDEX('Summary of Results'!L:L, MATCH($A114, 'Summary of Results'!$A:$A, 0)), NA()))</f>
        <v/>
      </c>
      <c r="I114" s="252" t="str">
        <f>IF(OR(ISERROR($B114), $B114 = ""), "", IFERROR(INDEX('Summary of Results'!M:M, MATCH($A114, 'Summary of Results'!$A:$A, 0)), NA()))</f>
        <v/>
      </c>
      <c r="M114" s="228">
        <v>0.99</v>
      </c>
      <c r="O114" s="33">
        <v>3.6845621613237598</v>
      </c>
      <c r="P114" s="33">
        <v>3.6970513486815402</v>
      </c>
      <c r="Q114" s="33">
        <v>3.7070146049911501</v>
      </c>
      <c r="R114" s="33">
        <v>3.6388698325129201</v>
      </c>
      <c r="S114" s="33">
        <v>3.62483915375886</v>
      </c>
      <c r="T114" s="33">
        <v>3.0310111997950702</v>
      </c>
      <c r="U114" s="33">
        <v>3.7542971819561002</v>
      </c>
      <c r="V114" s="33">
        <v>1.1923932314410399</v>
      </c>
      <c r="W114" s="33">
        <v>-4.0339312090070301E-2</v>
      </c>
      <c r="AB114" s="33">
        <v>3.5240733342789343</v>
      </c>
      <c r="AG114" s="229"/>
      <c r="AP114" s="8"/>
      <c r="AS114" s="7"/>
      <c r="AT114" s="391"/>
      <c r="AU114" s="324"/>
      <c r="AW114" s="7"/>
      <c r="AX114" s="392"/>
      <c r="AY114" s="7"/>
    </row>
    <row r="115" spans="1:51" ht="21" thickBot="1" x14ac:dyDescent="0.25">
      <c r="A115" s="1220" t="str">
        <f>IF(ISERROR( Dashboard!C240), "", Dashboard!B240)</f>
        <v/>
      </c>
      <c r="B115" s="249" t="str">
        <f>IFERROR(INDEX('Summary of Results'!$B:$B, MATCH(A115, 'Summary of Results'!$A:$A, 0)), "")</f>
        <v/>
      </c>
      <c r="C115" s="250" t="str">
        <f>IF(OR(ISERROR($B115), $B115 = ""), "", IFERROR(INDEX('Summary of Results'!G:G, MATCH($A115, 'Summary of Results'!$A:$A, 0)), NA()))</f>
        <v/>
      </c>
      <c r="D115" s="251" t="str">
        <f>IF(OR(ISERROR($B115), $B115 = ""), "", IFERROR(INDEX('Summary of Results'!H:H, MATCH($A115, 'Summary of Results'!$A:$A, 0)), NA()))</f>
        <v/>
      </c>
      <c r="E115" s="251" t="str">
        <f>IF(OR(ISERROR($B115), $B115 = ""), "", IFERROR(INDEX('Summary of Results'!I:I, MATCH($A115, 'Summary of Results'!$A:$A, 0)), NA()))</f>
        <v/>
      </c>
      <c r="F115" s="251" t="str">
        <f>IF(OR(ISERROR($B115), $B115 = ""), "", IFERROR(INDEX('Summary of Results'!J:J, MATCH($A115, 'Summary of Results'!$A:$A, 0)), NA()))</f>
        <v/>
      </c>
      <c r="G115" s="251" t="str">
        <f>IF(OR(ISERROR($B115), $B115 = ""), "", IFERROR(INDEX('Summary of Results'!K:K, MATCH($A115, 'Summary of Results'!$A:$A, 0)), NA()))</f>
        <v/>
      </c>
      <c r="H115" s="251" t="str">
        <f>IF(OR(ISERROR($B115), $B115 = ""), "", IFERROR(INDEX('Summary of Results'!L:L, MATCH($A115, 'Summary of Results'!$A:$A, 0)), NA()))</f>
        <v/>
      </c>
      <c r="I115" s="252" t="str">
        <f>IF(OR(ISERROR($B115), $B115 = ""), "", IFERROR(INDEX('Summary of Results'!M:M, MATCH($A115, 'Summary of Results'!$A:$A, 0)), NA()))</f>
        <v/>
      </c>
      <c r="M115" s="228"/>
      <c r="AG115" s="229"/>
      <c r="AP115" s="5" t="s">
        <v>2307</v>
      </c>
      <c r="AU115" s="45" t="s">
        <v>2308</v>
      </c>
      <c r="AV115" s="45" t="s">
        <v>2197</v>
      </c>
      <c r="AW115" s="45" t="s">
        <v>2309</v>
      </c>
      <c r="AX115" s="392"/>
      <c r="AY115" s="7"/>
    </row>
    <row r="116" spans="1:51" ht="21" thickBot="1" x14ac:dyDescent="0.25">
      <c r="A116" s="1220" t="str">
        <f>IF(ISERROR( Dashboard!C241), "", Dashboard!B241)</f>
        <v/>
      </c>
      <c r="B116" s="249" t="str">
        <f>IFERROR(INDEX('Summary of Results'!$B:$B, MATCH(A116, 'Summary of Results'!$A:$A, 0)), "")</f>
        <v/>
      </c>
      <c r="C116" s="250" t="str">
        <f>IF(OR(ISERROR($B116), $B116 = ""), "", IFERROR(INDEX('Summary of Results'!G:G, MATCH($A116, 'Summary of Results'!$A:$A, 0)), NA()))</f>
        <v/>
      </c>
      <c r="D116" s="251" t="str">
        <f>IF(OR(ISERROR($B116), $B116 = ""), "", IFERROR(INDEX('Summary of Results'!H:H, MATCH($A116, 'Summary of Results'!$A:$A, 0)), NA()))</f>
        <v/>
      </c>
      <c r="E116" s="251" t="str">
        <f>IF(OR(ISERROR($B116), $B116 = ""), "", IFERROR(INDEX('Summary of Results'!I:I, MATCH($A116, 'Summary of Results'!$A:$A, 0)), NA()))</f>
        <v/>
      </c>
      <c r="F116" s="251" t="str">
        <f>IF(OR(ISERROR($B116), $B116 = ""), "", IFERROR(INDEX('Summary of Results'!J:J, MATCH($A116, 'Summary of Results'!$A:$A, 0)), NA()))</f>
        <v/>
      </c>
      <c r="G116" s="251" t="str">
        <f>IF(OR(ISERROR($B116), $B116 = ""), "", IFERROR(INDEX('Summary of Results'!K:K, MATCH($A116, 'Summary of Results'!$A:$A, 0)), NA()))</f>
        <v/>
      </c>
      <c r="H116" s="251" t="str">
        <f>IF(OR(ISERROR($B116), $B116 = ""), "", IFERROR(INDEX('Summary of Results'!L:L, MATCH($A116, 'Summary of Results'!$A:$A, 0)), NA()))</f>
        <v/>
      </c>
      <c r="I116" s="252" t="str">
        <f>IF(OR(ISERROR($B116), $B116 = ""), "", IFERROR(INDEX('Summary of Results'!M:M, MATCH($A116, 'Summary of Results'!$A:$A, 0)), NA()))</f>
        <v/>
      </c>
      <c r="M116" s="424" t="s">
        <v>2310</v>
      </c>
      <c r="N116" s="525" t="s">
        <v>2311</v>
      </c>
      <c r="O116" s="525" t="s">
        <v>2312</v>
      </c>
      <c r="P116" s="425"/>
      <c r="Q116" s="425"/>
      <c r="R116" s="425"/>
      <c r="S116" s="425"/>
      <c r="T116" s="425"/>
      <c r="U116" s="425"/>
      <c r="V116" s="425"/>
      <c r="W116" s="425"/>
      <c r="X116" s="425"/>
      <c r="Y116" s="425"/>
      <c r="Z116" s="425"/>
      <c r="AA116" s="425"/>
      <c r="AB116" s="425"/>
      <c r="AC116" s="425"/>
      <c r="AD116" s="425"/>
      <c r="AE116" s="425"/>
      <c r="AF116" s="425"/>
      <c r="AG116" s="426"/>
      <c r="AP116" t="s">
        <v>2313</v>
      </c>
      <c r="AU116" s="39">
        <v>40</v>
      </c>
      <c r="AV116" s="39">
        <v>70</v>
      </c>
      <c r="AW116" s="39">
        <v>100</v>
      </c>
      <c r="AX116" s="392"/>
      <c r="AY116" s="7"/>
    </row>
    <row r="117" spans="1:51" ht="20" x14ac:dyDescent="0.2">
      <c r="A117" s="1220" t="str">
        <f>IF(ISERROR( Dashboard!C242), "", Dashboard!B242)</f>
        <v/>
      </c>
      <c r="B117" s="249" t="str">
        <f>IFERROR(INDEX('Summary of Results'!$B:$B, MATCH(A117, 'Summary of Results'!$A:$A, 0)), "")</f>
        <v/>
      </c>
      <c r="C117" s="250" t="str">
        <f>IF(OR(ISERROR($B117), $B117 = ""), "", IFERROR(INDEX('Summary of Results'!G:G, MATCH($A117, 'Summary of Results'!$A:$A, 0)), NA()))</f>
        <v/>
      </c>
      <c r="D117" s="251" t="str">
        <f>IF(OR(ISERROR($B117), $B117 = ""), "", IFERROR(INDEX('Summary of Results'!H:H, MATCH($A117, 'Summary of Results'!$A:$A, 0)), NA()))</f>
        <v/>
      </c>
      <c r="E117" s="251" t="str">
        <f>IF(OR(ISERROR($B117), $B117 = ""), "", IFERROR(INDEX('Summary of Results'!I:I, MATCH($A117, 'Summary of Results'!$A:$A, 0)), NA()))</f>
        <v/>
      </c>
      <c r="F117" s="251" t="str">
        <f>IF(OR(ISERROR($B117), $B117 = ""), "", IFERROR(INDEX('Summary of Results'!J:J, MATCH($A117, 'Summary of Results'!$A:$A, 0)), NA()))</f>
        <v/>
      </c>
      <c r="G117" s="251" t="str">
        <f>IF(OR(ISERROR($B117), $B117 = ""), "", IFERROR(INDEX('Summary of Results'!K:K, MATCH($A117, 'Summary of Results'!$A:$A, 0)), NA()))</f>
        <v/>
      </c>
      <c r="H117" s="251" t="str">
        <f>IF(OR(ISERROR($B117), $B117 = ""), "", IFERROR(INDEX('Summary of Results'!L:L, MATCH($A117, 'Summary of Results'!$A:$A, 0)), NA()))</f>
        <v/>
      </c>
      <c r="I117" s="252" t="str">
        <f>IF(OR(ISERROR($B117), $B117 = ""), "", IFERROR(INDEX('Summary of Results'!M:M, MATCH($A117, 'Summary of Results'!$A:$A, 0)), NA()))</f>
        <v/>
      </c>
      <c r="M117" s="511" t="s">
        <v>2314</v>
      </c>
      <c r="N117" s="512">
        <v>6.94</v>
      </c>
      <c r="O117" s="510">
        <v>1</v>
      </c>
      <c r="P117" s="49">
        <v>1</v>
      </c>
      <c r="Q117" s="49">
        <v>1</v>
      </c>
      <c r="R117" s="49">
        <v>1</v>
      </c>
      <c r="S117" s="49">
        <v>1</v>
      </c>
      <c r="T117" s="49">
        <v>1</v>
      </c>
      <c r="U117" s="49">
        <v>1.1000000000000001</v>
      </c>
      <c r="V117" s="49">
        <v>4</v>
      </c>
      <c r="W117" s="49"/>
      <c r="X117" s="49"/>
      <c r="Y117" s="49"/>
      <c r="Z117" s="49"/>
      <c r="AA117" s="49"/>
      <c r="AB117" s="49">
        <v>1</v>
      </c>
      <c r="AC117" s="49"/>
      <c r="AD117" s="49"/>
      <c r="AE117" s="49"/>
      <c r="AF117" s="49"/>
      <c r="AG117" s="239"/>
      <c r="AP117" t="s">
        <v>2315</v>
      </c>
      <c r="AU117" s="39">
        <v>10</v>
      </c>
      <c r="AV117" s="39">
        <v>10</v>
      </c>
      <c r="AW117" s="39">
        <v>20</v>
      </c>
      <c r="AX117" s="392"/>
      <c r="AY117" s="7"/>
    </row>
    <row r="118" spans="1:51" ht="20" x14ac:dyDescent="0.2">
      <c r="A118" s="1220" t="str">
        <f>IF(ISERROR( Dashboard!C243), "", Dashboard!B243)</f>
        <v/>
      </c>
      <c r="B118" s="249" t="str">
        <f>IFERROR(INDEX('Summary of Results'!$B:$B, MATCH(A118, 'Summary of Results'!$A:$A, 0)), "")</f>
        <v/>
      </c>
      <c r="C118" s="250" t="str">
        <f>IF(OR(ISERROR($B118), $B118 = ""), "", IFERROR(INDEX('Summary of Results'!G:G, MATCH($A118, 'Summary of Results'!$A:$A, 0)), NA()))</f>
        <v/>
      </c>
      <c r="D118" s="251" t="str">
        <f>IF(OR(ISERROR($B118), $B118 = ""), "", IFERROR(INDEX('Summary of Results'!H:H, MATCH($A118, 'Summary of Results'!$A:$A, 0)), NA()))</f>
        <v/>
      </c>
      <c r="E118" s="251" t="str">
        <f>IF(OR(ISERROR($B118), $B118 = ""), "", IFERROR(INDEX('Summary of Results'!I:I, MATCH($A118, 'Summary of Results'!$A:$A, 0)), NA()))</f>
        <v/>
      </c>
      <c r="F118" s="251" t="str">
        <f>IF(OR(ISERROR($B118), $B118 = ""), "", IFERROR(INDEX('Summary of Results'!J:J, MATCH($A118, 'Summary of Results'!$A:$A, 0)), NA()))</f>
        <v/>
      </c>
      <c r="G118" s="251" t="str">
        <f>IF(OR(ISERROR($B118), $B118 = ""), "", IFERROR(INDEX('Summary of Results'!K:K, MATCH($A118, 'Summary of Results'!$A:$A, 0)), NA()))</f>
        <v/>
      </c>
      <c r="H118" s="251" t="str">
        <f>IF(OR(ISERROR($B118), $B118 = ""), "", IFERROR(INDEX('Summary of Results'!L:L, MATCH($A118, 'Summary of Results'!$A:$A, 0)), NA()))</f>
        <v/>
      </c>
      <c r="I118" s="252" t="str">
        <f>IF(OR(ISERROR($B118), $B118 = ""), "", IFERROR(INDEX('Summary of Results'!M:M, MATCH($A118, 'Summary of Results'!$A:$A, 0)), NA()))</f>
        <v/>
      </c>
      <c r="M118" s="513" t="s">
        <v>1720</v>
      </c>
      <c r="N118" s="514">
        <v>58.71</v>
      </c>
      <c r="O118" s="509">
        <v>0.33300000000000002</v>
      </c>
      <c r="P118">
        <v>0.5</v>
      </c>
      <c r="Q118">
        <v>0.6</v>
      </c>
      <c r="R118">
        <v>0.8</v>
      </c>
      <c r="S118">
        <v>0.8</v>
      </c>
      <c r="AB118">
        <v>0.95</v>
      </c>
      <c r="AG118" s="229"/>
      <c r="AP118" t="s">
        <v>2316</v>
      </c>
      <c r="AU118" s="39">
        <v>50</v>
      </c>
      <c r="AV118" s="39">
        <v>70</v>
      </c>
      <c r="AW118" s="39">
        <v>200</v>
      </c>
      <c r="AX118" s="392"/>
      <c r="AY118" s="7"/>
    </row>
    <row r="119" spans="1:51" ht="20" x14ac:dyDescent="0.2">
      <c r="A119" s="1220" t="str">
        <f>IF(ISERROR( Dashboard!C244), "", Dashboard!B244)</f>
        <v/>
      </c>
      <c r="B119" s="249" t="str">
        <f>IFERROR(INDEX('Summary of Results'!$B:$B, MATCH(A119, 'Summary of Results'!$A:$A, 0)), "")</f>
        <v/>
      </c>
      <c r="C119" s="250" t="str">
        <f>IF(OR(ISERROR($B119), $B119 = ""), "", IFERROR(INDEX('Summary of Results'!G:G, MATCH($A119, 'Summary of Results'!$A:$A, 0)), NA()))</f>
        <v/>
      </c>
      <c r="D119" s="251" t="str">
        <f>IF(OR(ISERROR($B119), $B119 = ""), "", IFERROR(INDEX('Summary of Results'!H:H, MATCH($A119, 'Summary of Results'!$A:$A, 0)), NA()))</f>
        <v/>
      </c>
      <c r="E119" s="251" t="str">
        <f>IF(OR(ISERROR($B119), $B119 = ""), "", IFERROR(INDEX('Summary of Results'!I:I, MATCH($A119, 'Summary of Results'!$A:$A, 0)), NA()))</f>
        <v/>
      </c>
      <c r="F119" s="251" t="str">
        <f>IF(OR(ISERROR($B119), $B119 = ""), "", IFERROR(INDEX('Summary of Results'!J:J, MATCH($A119, 'Summary of Results'!$A:$A, 0)), NA()))</f>
        <v/>
      </c>
      <c r="G119" s="251" t="str">
        <f>IF(OR(ISERROR($B119), $B119 = ""), "", IFERROR(INDEX('Summary of Results'!K:K, MATCH($A119, 'Summary of Results'!$A:$A, 0)), NA()))</f>
        <v/>
      </c>
      <c r="H119" s="251" t="str">
        <f>IF(OR(ISERROR($B119), $B119 = ""), "", IFERROR(INDEX('Summary of Results'!L:L, MATCH($A119, 'Summary of Results'!$A:$A, 0)), NA()))</f>
        <v/>
      </c>
      <c r="I119" s="252" t="str">
        <f>IF(OR(ISERROR($B119), $B119 = ""), "", IFERROR(INDEX('Summary of Results'!M:M, MATCH($A119, 'Summary of Results'!$A:$A, 0)), NA()))</f>
        <v/>
      </c>
      <c r="M119" s="513" t="s">
        <v>2317</v>
      </c>
      <c r="N119" s="514">
        <v>54.94</v>
      </c>
      <c r="O119" s="509">
        <v>0.33300000000000002</v>
      </c>
      <c r="P119">
        <v>0.3</v>
      </c>
      <c r="Q119">
        <v>0.2</v>
      </c>
      <c r="R119">
        <v>0.1</v>
      </c>
      <c r="U119">
        <v>1.9</v>
      </c>
      <c r="AB119">
        <v>2.5000000000000001E-2</v>
      </c>
      <c r="AG119" s="229"/>
      <c r="AP119" t="s">
        <v>2318</v>
      </c>
      <c r="AU119" s="39">
        <v>15</v>
      </c>
      <c r="AV119" s="39">
        <v>15</v>
      </c>
      <c r="AW119" s="39">
        <v>15</v>
      </c>
      <c r="AX119" s="392"/>
      <c r="AY119" s="7"/>
    </row>
    <row r="120" spans="1:51" ht="20" x14ac:dyDescent="0.2">
      <c r="A120" s="1220" t="str">
        <f>IF(ISERROR( Dashboard!C245), "", Dashboard!B245)</f>
        <v/>
      </c>
      <c r="B120" s="249" t="str">
        <f>IFERROR(INDEX('Summary of Results'!$B:$B, MATCH(A120, 'Summary of Results'!$A:$A, 0)), "")</f>
        <v/>
      </c>
      <c r="C120" s="250" t="str">
        <f>IF(OR(ISERROR($B120), $B120 = ""), "", IFERROR(INDEX('Summary of Results'!G:G, MATCH($A120, 'Summary of Results'!$A:$A, 0)), NA()))</f>
        <v/>
      </c>
      <c r="D120" s="251" t="str">
        <f>IF(OR(ISERROR($B120), $B120 = ""), "", IFERROR(INDEX('Summary of Results'!H:H, MATCH($A120, 'Summary of Results'!$A:$A, 0)), NA()))</f>
        <v/>
      </c>
      <c r="E120" s="251" t="str">
        <f>IF(OR(ISERROR($B120), $B120 = ""), "", IFERROR(INDEX('Summary of Results'!I:I, MATCH($A120, 'Summary of Results'!$A:$A, 0)), NA()))</f>
        <v/>
      </c>
      <c r="F120" s="251" t="str">
        <f>IF(OR(ISERROR($B120), $B120 = ""), "", IFERROR(INDEX('Summary of Results'!J:J, MATCH($A120, 'Summary of Results'!$A:$A, 0)), NA()))</f>
        <v/>
      </c>
      <c r="G120" s="251" t="str">
        <f>IF(OR(ISERROR($B120), $B120 = ""), "", IFERROR(INDEX('Summary of Results'!K:K, MATCH($A120, 'Summary of Results'!$A:$A, 0)), NA()))</f>
        <v/>
      </c>
      <c r="H120" s="251" t="str">
        <f>IF(OR(ISERROR($B120), $B120 = ""), "", IFERROR(INDEX('Summary of Results'!L:L, MATCH($A120, 'Summary of Results'!$A:$A, 0)), NA()))</f>
        <v/>
      </c>
      <c r="I120" s="252" t="str">
        <f>IF(OR(ISERROR($B120), $B120 = ""), "", IFERROR(INDEX('Summary of Results'!M:M, MATCH($A120, 'Summary of Results'!$A:$A, 0)), NA()))</f>
        <v/>
      </c>
      <c r="M120" s="513" t="s">
        <v>1721</v>
      </c>
      <c r="N120" s="514">
        <v>58.93</v>
      </c>
      <c r="O120" s="509">
        <v>0.33300000000000002</v>
      </c>
      <c r="P120">
        <f>0.2*(2-P117)</f>
        <v>0.2</v>
      </c>
      <c r="Q120">
        <f>0.2*(2-Q117)</f>
        <v>0.2</v>
      </c>
      <c r="R120">
        <v>0.1</v>
      </c>
      <c r="S120">
        <v>0.15</v>
      </c>
      <c r="AB120">
        <v>2.5000000000000001E-2</v>
      </c>
      <c r="AG120" s="229"/>
      <c r="AP120" t="s">
        <v>2319</v>
      </c>
      <c r="AW120" s="39">
        <v>100</v>
      </c>
      <c r="AX120" s="392"/>
      <c r="AY120" s="7"/>
    </row>
    <row r="121" spans="1:51" ht="20" x14ac:dyDescent="0.2">
      <c r="A121" s="1220" t="str">
        <f>IF(ISERROR( Dashboard!C246), "", Dashboard!B246)</f>
        <v/>
      </c>
      <c r="B121" s="249" t="str">
        <f>IFERROR(INDEX('Summary of Results'!$B:$B, MATCH(A121, 'Summary of Results'!$A:$A, 0)), "")</f>
        <v/>
      </c>
      <c r="C121" s="250" t="str">
        <f>IF(OR(ISERROR($B121), $B121 = ""), "", IFERROR(INDEX('Summary of Results'!G:G, MATCH($A121, 'Summary of Results'!$A:$A, 0)), NA()))</f>
        <v/>
      </c>
      <c r="D121" s="251" t="str">
        <f>IF(OR(ISERROR($B121), $B121 = ""), "", IFERROR(INDEX('Summary of Results'!H:H, MATCH($A121, 'Summary of Results'!$A:$A, 0)), NA()))</f>
        <v/>
      </c>
      <c r="E121" s="251" t="str">
        <f>IF(OR(ISERROR($B121), $B121 = ""), "", IFERROR(INDEX('Summary of Results'!I:I, MATCH($A121, 'Summary of Results'!$A:$A, 0)), NA()))</f>
        <v/>
      </c>
      <c r="F121" s="251" t="str">
        <f>IF(OR(ISERROR($B121), $B121 = ""), "", IFERROR(INDEX('Summary of Results'!J:J, MATCH($A121, 'Summary of Results'!$A:$A, 0)), NA()))</f>
        <v/>
      </c>
      <c r="G121" s="251" t="str">
        <f>IF(OR(ISERROR($B121), $B121 = ""), "", IFERROR(INDEX('Summary of Results'!K:K, MATCH($A121, 'Summary of Results'!$A:$A, 0)), NA()))</f>
        <v/>
      </c>
      <c r="H121" s="251" t="str">
        <f>IF(OR(ISERROR($B121), $B121 = ""), "", IFERROR(INDEX('Summary of Results'!L:L, MATCH($A121, 'Summary of Results'!$A:$A, 0)), NA()))</f>
        <v/>
      </c>
      <c r="I121" s="252" t="str">
        <f>IF(OR(ISERROR($B121), $B121 = ""), "", IFERROR(INDEX('Summary of Results'!M:M, MATCH($A121, 'Summary of Results'!$A:$A, 0)), NA()))</f>
        <v/>
      </c>
      <c r="M121" s="513" t="s">
        <v>1381</v>
      </c>
      <c r="N121" s="514">
        <v>26.98</v>
      </c>
      <c r="O121" s="509"/>
      <c r="S121">
        <v>0.05</v>
      </c>
      <c r="AG121" s="229"/>
      <c r="AP121" s="5" t="s">
        <v>2320</v>
      </c>
      <c r="AU121" s="45"/>
      <c r="AV121" s="45"/>
      <c r="AW121" s="45" t="s">
        <v>2198</v>
      </c>
      <c r="AX121" s="392"/>
      <c r="AY121" s="7"/>
    </row>
    <row r="122" spans="1:51" ht="20" x14ac:dyDescent="0.2">
      <c r="A122" s="1220">
        <f>IF(ISERROR( Dashboard!C247), "", Dashboard!B247)</f>
        <v>0</v>
      </c>
      <c r="B122" s="249" t="str">
        <f>IFERROR(INDEX('Summary of Results'!$B:$B, MATCH(A122, 'Summary of Results'!$A:$A, 0)), "")</f>
        <v/>
      </c>
      <c r="C122" s="250" t="str">
        <f>IF(OR(ISERROR($B122), $B122 = ""), "", IFERROR(INDEX('Summary of Results'!G:G, MATCH($A122, 'Summary of Results'!$A:$A, 0)), NA()))</f>
        <v/>
      </c>
      <c r="D122" s="251" t="str">
        <f>IF(OR(ISERROR($B122), $B122 = ""), "", IFERROR(INDEX('Summary of Results'!H:H, MATCH($A122, 'Summary of Results'!$A:$A, 0)), NA()))</f>
        <v/>
      </c>
      <c r="E122" s="251" t="str">
        <f>IF(OR(ISERROR($B122), $B122 = ""), "", IFERROR(INDEX('Summary of Results'!I:I, MATCH($A122, 'Summary of Results'!$A:$A, 0)), NA()))</f>
        <v/>
      </c>
      <c r="F122" s="251" t="str">
        <f>IF(OR(ISERROR($B122), $B122 = ""), "", IFERROR(INDEX('Summary of Results'!J:J, MATCH($A122, 'Summary of Results'!$A:$A, 0)), NA()))</f>
        <v/>
      </c>
      <c r="G122" s="251" t="str">
        <f>IF(OR(ISERROR($B122), $B122 = ""), "", IFERROR(INDEX('Summary of Results'!K:K, MATCH($A122, 'Summary of Results'!$A:$A, 0)), NA()))</f>
        <v/>
      </c>
      <c r="H122" s="251" t="str">
        <f>IF(OR(ISERROR($B122), $B122 = ""), "", IFERROR(INDEX('Summary of Results'!L:L, MATCH($A122, 'Summary of Results'!$A:$A, 0)), NA()))</f>
        <v/>
      </c>
      <c r="I122" s="252" t="str">
        <f>IF(OR(ISERROR($B122), $B122 = ""), "", IFERROR(INDEX('Summary of Results'!M:M, MATCH($A122, 'Summary of Results'!$A:$A, 0)), NA()))</f>
        <v/>
      </c>
      <c r="M122" s="513" t="s">
        <v>2321</v>
      </c>
      <c r="N122" s="514">
        <v>55.85</v>
      </c>
      <c r="O122" s="509"/>
      <c r="T122">
        <v>1</v>
      </c>
      <c r="AG122" s="229"/>
      <c r="AU122" s="45" t="s">
        <v>2308</v>
      </c>
      <c r="AV122" s="45" t="s">
        <v>2197</v>
      </c>
      <c r="AW122" s="45" t="s">
        <v>2322</v>
      </c>
      <c r="AX122" s="392"/>
      <c r="AY122" s="7"/>
    </row>
    <row r="123" spans="1:51" ht="20" x14ac:dyDescent="0.2">
      <c r="A123" s="1220">
        <f>IF(ISERROR( Dashboard!C248), "", Dashboard!B248)</f>
        <v>0</v>
      </c>
      <c r="B123" s="249" t="str">
        <f>IFERROR(INDEX('Summary of Results'!$B:$B, MATCH(A123, 'Summary of Results'!$A:$A, 0)), "")</f>
        <v/>
      </c>
      <c r="C123" s="250" t="str">
        <f>IF(OR(ISERROR($B123), $B123 = ""), "", IFERROR(INDEX('Summary of Results'!G:G, MATCH($A123, 'Summary of Results'!$A:$A, 0)), NA()))</f>
        <v/>
      </c>
      <c r="D123" s="251" t="str">
        <f>IF(OR(ISERROR($B123), $B123 = ""), "", IFERROR(INDEX('Summary of Results'!H:H, MATCH($A123, 'Summary of Results'!$A:$A, 0)), NA()))</f>
        <v/>
      </c>
      <c r="E123" s="251" t="str">
        <f>IF(OR(ISERROR($B123), $B123 = ""), "", IFERROR(INDEX('Summary of Results'!I:I, MATCH($A123, 'Summary of Results'!$A:$A, 0)), NA()))</f>
        <v/>
      </c>
      <c r="F123" s="251" t="str">
        <f>IF(OR(ISERROR($B123), $B123 = ""), "", IFERROR(INDEX('Summary of Results'!J:J, MATCH($A123, 'Summary of Results'!$A:$A, 0)), NA()))</f>
        <v/>
      </c>
      <c r="G123" s="251" t="str">
        <f>IF(OR(ISERROR($B123), $B123 = ""), "", IFERROR(INDEX('Summary of Results'!K:K, MATCH($A123, 'Summary of Results'!$A:$A, 0)), NA()))</f>
        <v/>
      </c>
      <c r="H123" s="251" t="str">
        <f>IF(OR(ISERROR($B123), $B123 = ""), "", IFERROR(INDEX('Summary of Results'!L:L, MATCH($A123, 'Summary of Results'!$A:$A, 0)), NA()))</f>
        <v/>
      </c>
      <c r="I123" s="252" t="str">
        <f>IF(OR(ISERROR($B123), $B123 = ""), "", IFERROR(INDEX('Summary of Results'!M:M, MATCH($A123, 'Summary of Results'!$A:$A, 0)), NA()))</f>
        <v/>
      </c>
      <c r="M123" s="513" t="s">
        <v>2246</v>
      </c>
      <c r="N123" s="514">
        <v>30.97</v>
      </c>
      <c r="O123" s="509"/>
      <c r="T123">
        <v>1</v>
      </c>
      <c r="AG123" s="229"/>
      <c r="AP123" s="8" t="s">
        <v>2323</v>
      </c>
      <c r="AU123" s="39">
        <v>30</v>
      </c>
      <c r="AV123" s="39">
        <v>80</v>
      </c>
      <c r="AW123" s="39">
        <v>120</v>
      </c>
      <c r="AX123" s="392"/>
      <c r="AY123" s="7"/>
    </row>
    <row r="124" spans="1:51" ht="18" thickBot="1" x14ac:dyDescent="0.25">
      <c r="B124" s="249" t="str">
        <f>IFERROR(INDEX('Summary of Results'!$B:$B, MATCH(A124, 'Summary of Results'!$A:$A, 0)), "")</f>
        <v/>
      </c>
      <c r="C124" s="1001" t="str">
        <f>IF(OR(ISERROR($B124), $B124 = ""), "", IFERROR(INDEX('Summary of Results'!G:G, MATCH($A124, 'Summary of Results'!$A:$A, 0)), NA()))</f>
        <v/>
      </c>
      <c r="D124" s="1002" t="str">
        <f>IF(OR(ISERROR($B124), $B124 = ""), "", IFERROR(INDEX('Summary of Results'!H:H, MATCH($A124, 'Summary of Results'!$A:$A, 0)), NA()))</f>
        <v/>
      </c>
      <c r="E124" s="1002" t="str">
        <f>IF(OR(ISERROR($B124), $B124 = ""), "", IFERROR(INDEX('Summary of Results'!I:I, MATCH($A124, 'Summary of Results'!$A:$A, 0)), NA()))</f>
        <v/>
      </c>
      <c r="F124" s="1002" t="str">
        <f>IF(OR(ISERROR($B124), $B124 = ""), "", IFERROR(INDEX('Summary of Results'!J:J, MATCH($A124, 'Summary of Results'!$A:$A, 0)), NA()))</f>
        <v/>
      </c>
      <c r="G124" s="1002" t="str">
        <f>IF(OR(ISERROR($B124), $B124 = ""), "", IFERROR(INDEX('Summary of Results'!K:K, MATCH($A124, 'Summary of Results'!$A:$A, 0)), NA()))</f>
        <v/>
      </c>
      <c r="H124" s="1002" t="str">
        <f>IF(OR(ISERROR($B124), $B124 = ""), "", IFERROR(INDEX('Summary of Results'!L:L, MATCH($A124, 'Summary of Results'!$A:$A, 0)), NA()))</f>
        <v/>
      </c>
      <c r="I124" s="1003" t="str">
        <f>IF(OR(ISERROR($B124), $B124 = ""), "", IFERROR(INDEX('Summary of Results'!M:M, MATCH($A124, 'Summary of Results'!$A:$A, 0)), NA()))</f>
        <v/>
      </c>
      <c r="M124" s="513" t="s">
        <v>2324</v>
      </c>
      <c r="N124" s="514">
        <v>47.9</v>
      </c>
      <c r="O124" s="509"/>
      <c r="V124">
        <v>5</v>
      </c>
      <c r="AG124" s="229"/>
      <c r="AP124" s="9" t="s">
        <v>2325</v>
      </c>
      <c r="AU124" s="39">
        <v>40</v>
      </c>
      <c r="AV124" s="39">
        <v>40</v>
      </c>
      <c r="AW124" s="39">
        <v>40</v>
      </c>
      <c r="AX124" s="392"/>
      <c r="AY124" s="7"/>
    </row>
    <row r="125" spans="1:51" ht="17" x14ac:dyDescent="0.2">
      <c r="M125" s="513" t="s">
        <v>2326</v>
      </c>
      <c r="N125" s="514">
        <v>16</v>
      </c>
      <c r="O125" s="509">
        <v>2</v>
      </c>
      <c r="P125">
        <v>2</v>
      </c>
      <c r="Q125" s="509">
        <v>2</v>
      </c>
      <c r="R125" s="509">
        <v>2</v>
      </c>
      <c r="S125" s="509">
        <v>2</v>
      </c>
      <c r="T125" s="509">
        <v>4</v>
      </c>
      <c r="U125" s="509">
        <v>4</v>
      </c>
      <c r="V125" s="509">
        <v>12</v>
      </c>
      <c r="AB125">
        <v>2</v>
      </c>
      <c r="AG125" s="229"/>
      <c r="AP125" s="8" t="s">
        <v>2327</v>
      </c>
      <c r="AU125" s="39">
        <v>20</v>
      </c>
      <c r="AV125" s="39">
        <v>20</v>
      </c>
      <c r="AW125" s="39">
        <v>20</v>
      </c>
      <c r="AX125" s="392"/>
      <c r="AY125" s="7"/>
    </row>
    <row r="126" spans="1:51" ht="17" x14ac:dyDescent="0.2">
      <c r="M126" s="513" t="s">
        <v>2242</v>
      </c>
      <c r="N126" s="515">
        <v>32</v>
      </c>
      <c r="AG126" s="229"/>
      <c r="AP126" t="s">
        <v>2214</v>
      </c>
      <c r="AU126" s="45"/>
      <c r="AV126" s="45"/>
      <c r="AW126" s="39">
        <v>100</v>
      </c>
      <c r="AX126" s="392"/>
      <c r="AY126" s="7"/>
    </row>
    <row r="127" spans="1:51" ht="17" x14ac:dyDescent="0.2">
      <c r="M127" s="513" t="s">
        <v>293</v>
      </c>
      <c r="N127" s="514">
        <v>12</v>
      </c>
      <c r="W127">
        <v>6</v>
      </c>
      <c r="X127">
        <v>7.9166666666666663E-2</v>
      </c>
      <c r="Y127">
        <v>7.4999999999999997E-2</v>
      </c>
      <c r="Z127">
        <v>7.0833333333333331E-2</v>
      </c>
      <c r="AA127">
        <v>6.6666666666666666E-2</v>
      </c>
      <c r="AG127" s="229"/>
      <c r="AP127" s="75" t="s">
        <v>2328</v>
      </c>
      <c r="AR127" s="74"/>
      <c r="AS127" s="74"/>
      <c r="AX127" s="392"/>
      <c r="AY127" s="7"/>
    </row>
    <row r="128" spans="1:51" ht="17" x14ac:dyDescent="0.2">
      <c r="M128" s="513" t="s">
        <v>1722</v>
      </c>
      <c r="N128" s="515">
        <v>28</v>
      </c>
      <c r="X128">
        <v>1.7857142857142859E-3</v>
      </c>
      <c r="Y128">
        <v>3.5714285714285718E-3</v>
      </c>
      <c r="Z128">
        <v>5.3571428571428572E-3</v>
      </c>
      <c r="AA128">
        <v>7.1428571428571435E-3</v>
      </c>
      <c r="AG128" s="229"/>
      <c r="AX128" s="392"/>
      <c r="AY128" s="7"/>
    </row>
    <row r="129" spans="1:51" ht="17" x14ac:dyDescent="0.2">
      <c r="M129" s="513" t="s">
        <v>2329</v>
      </c>
      <c r="N129" s="515">
        <v>50.942</v>
      </c>
      <c r="AG129" s="229"/>
      <c r="AQ129" s="8"/>
      <c r="AS129" s="7"/>
      <c r="AT129" s="391"/>
      <c r="AU129" s="324"/>
      <c r="AW129" s="7"/>
      <c r="AX129" s="392"/>
      <c r="AY129" s="7"/>
    </row>
    <row r="130" spans="1:51" x14ac:dyDescent="0.2">
      <c r="M130" s="516"/>
      <c r="N130" s="515"/>
      <c r="AG130" s="229"/>
      <c r="AQ130" s="8"/>
      <c r="AS130" s="7"/>
      <c r="AT130" s="391"/>
      <c r="AU130" s="324"/>
      <c r="AW130" s="7"/>
      <c r="AX130" s="392"/>
      <c r="AY130" s="7"/>
    </row>
    <row r="131" spans="1:51" ht="17" thickBot="1" x14ac:dyDescent="0.25">
      <c r="M131" s="516"/>
      <c r="N131" s="515"/>
      <c r="AG131" s="229"/>
      <c r="AP131" s="1316" t="s">
        <v>2330</v>
      </c>
      <c r="AQ131" s="1316"/>
      <c r="AR131" s="1316"/>
      <c r="AS131" s="1316"/>
      <c r="AT131" s="1316"/>
      <c r="AU131" s="1316"/>
      <c r="AW131" s="7"/>
      <c r="AX131" s="392"/>
      <c r="AY131" s="7"/>
    </row>
    <row r="132" spans="1:51" ht="17" thickBot="1" x14ac:dyDescent="0.25">
      <c r="A132" s="1378" t="s">
        <v>2331</v>
      </c>
      <c r="B132" s="1379"/>
      <c r="M132" s="516"/>
      <c r="N132" s="515"/>
      <c r="AG132" s="229"/>
      <c r="AP132" s="8" t="s">
        <v>2332</v>
      </c>
      <c r="AQ132" s="8" t="s">
        <v>2333</v>
      </c>
      <c r="AR132" s="8" t="s">
        <v>2334</v>
      </c>
      <c r="AS132" s="8" t="s">
        <v>2335</v>
      </c>
      <c r="AT132" s="8" t="s">
        <v>2336</v>
      </c>
      <c r="AU132" s="8" t="s">
        <v>2337</v>
      </c>
      <c r="AW132" s="7"/>
      <c r="AX132" s="392"/>
      <c r="AY132" s="7"/>
    </row>
    <row r="133" spans="1:51" x14ac:dyDescent="0.2">
      <c r="A133" s="1186" t="s">
        <v>676</v>
      </c>
      <c r="B133" s="1187" t="s">
        <v>2338</v>
      </c>
      <c r="M133" s="516"/>
      <c r="N133" s="515"/>
      <c r="AG133" s="229"/>
      <c r="AP133" s="8" t="s">
        <v>828</v>
      </c>
      <c r="AQ133" s="8">
        <v>0</v>
      </c>
      <c r="AR133" s="8">
        <v>0</v>
      </c>
      <c r="AS133" s="8">
        <v>0</v>
      </c>
      <c r="AT133" s="8">
        <v>0</v>
      </c>
      <c r="AU133" s="8">
        <f>(AR133*AT133 + AS133*AT133 - AT133^2)</f>
        <v>0</v>
      </c>
      <c r="AW133" s="7"/>
      <c r="AX133" s="392"/>
      <c r="AY133" s="7"/>
    </row>
    <row r="134" spans="1:51" x14ac:dyDescent="0.2">
      <c r="A134" s="695">
        <f>'Battery Design'!F508</f>
        <v>1</v>
      </c>
      <c r="B134" s="184" t="str">
        <f>'Battery Design'!B508</f>
        <v>Error: Number or cells not divisible by number of cells in parallel</v>
      </c>
      <c r="M134" s="516"/>
      <c r="N134" s="515"/>
      <c r="AG134" s="229"/>
      <c r="AP134" s="8" t="s">
        <v>2339</v>
      </c>
      <c r="AQ134" s="8">
        <v>20</v>
      </c>
      <c r="AR134" s="8">
        <v>30</v>
      </c>
      <c r="AS134" s="8">
        <v>30</v>
      </c>
      <c r="AT134" s="8">
        <v>3</v>
      </c>
      <c r="AU134" s="8">
        <f>(AR134*AT134 + AS134*AT134 - AT134^2)</f>
        <v>171</v>
      </c>
      <c r="AW134" s="7"/>
      <c r="AX134" s="392"/>
      <c r="AY134" s="7"/>
    </row>
    <row r="135" spans="1:51" ht="17" thickBot="1" x14ac:dyDescent="0.25">
      <c r="A135" s="695">
        <f>'Battery Design'!F509</f>
        <v>2</v>
      </c>
      <c r="B135" s="184" t="str">
        <f>'Battery Design'!B509</f>
        <v>Error: Number of modules not divisible by number of modules in parallel</v>
      </c>
      <c r="M135" s="517"/>
      <c r="N135" s="518"/>
      <c r="O135" s="40"/>
      <c r="P135" s="40"/>
      <c r="Q135" s="40"/>
      <c r="R135" s="40"/>
      <c r="S135" s="40"/>
      <c r="T135" s="40"/>
      <c r="U135" s="40"/>
      <c r="V135" s="40"/>
      <c r="W135" s="40"/>
      <c r="X135" s="40"/>
      <c r="Y135" s="40"/>
      <c r="Z135" s="40"/>
      <c r="AA135" s="40"/>
      <c r="AB135" s="40"/>
      <c r="AC135" s="40"/>
      <c r="AD135" s="40"/>
      <c r="AE135" s="40"/>
      <c r="AF135" s="40"/>
      <c r="AG135" s="242"/>
      <c r="AP135" s="8" t="s">
        <v>2340</v>
      </c>
      <c r="AQ135" s="8">
        <v>40</v>
      </c>
      <c r="AR135" s="8">
        <v>40</v>
      </c>
      <c r="AS135" s="8">
        <v>40</v>
      </c>
      <c r="AT135" s="8">
        <v>4</v>
      </c>
      <c r="AU135" s="8">
        <f>(AR135*AT135 + AS135*AT135 - AT135^2)</f>
        <v>304</v>
      </c>
      <c r="AW135" s="7"/>
      <c r="AX135" s="392"/>
      <c r="AY135" s="7"/>
    </row>
    <row r="136" spans="1:51" x14ac:dyDescent="0.2">
      <c r="A136" s="695">
        <f>'Battery Design'!F510</f>
        <v>3</v>
      </c>
      <c r="B136" s="184" t="str">
        <f>'Battery Design'!B510</f>
        <v>Error: Pulse goes below lower operating SOC window</v>
      </c>
      <c r="W136" s="8"/>
      <c r="AP136" s="8" t="s">
        <v>2340</v>
      </c>
      <c r="AQ136" s="8">
        <v>1000</v>
      </c>
      <c r="AR136" s="8">
        <v>40</v>
      </c>
      <c r="AS136" s="8">
        <v>40</v>
      </c>
      <c r="AT136" s="8">
        <v>4</v>
      </c>
      <c r="AU136" s="8">
        <f>(AR136*AT136 + AS136*AT136 - AT136^2)</f>
        <v>304</v>
      </c>
      <c r="AW136" s="7"/>
      <c r="AX136" s="392"/>
      <c r="AY136" s="7"/>
    </row>
    <row r="137" spans="1:51" x14ac:dyDescent="0.2">
      <c r="A137" s="695">
        <f>'Battery Design'!F511</f>
        <v>4</v>
      </c>
      <c r="B137" s="184" t="str">
        <f>'Battery Design'!B511</f>
        <v>Error: Electrode thickness smaller than minimum allowable thickness</v>
      </c>
      <c r="AP137" s="8" t="s">
        <v>2340</v>
      </c>
      <c r="AQ137" s="8">
        <v>20000</v>
      </c>
      <c r="AR137" s="8">
        <v>40</v>
      </c>
      <c r="AS137" s="8">
        <v>40</v>
      </c>
      <c r="AT137" s="8">
        <v>4</v>
      </c>
      <c r="AU137" s="8">
        <f>(AR137*AT137 + AS137*AT137 - AT137^2)</f>
        <v>304</v>
      </c>
      <c r="AW137" s="7"/>
      <c r="AX137" s="392"/>
      <c r="AY137" s="7"/>
    </row>
    <row r="138" spans="1:51" x14ac:dyDescent="0.2">
      <c r="A138" s="695">
        <f>'Battery Design'!F512</f>
        <v>5</v>
      </c>
      <c r="B138" s="184" t="str">
        <f>'Battery Design'!B512</f>
        <v>Error: This combination of utilization and manufacturing method is not allowed</v>
      </c>
      <c r="AQ138" s="8"/>
      <c r="AS138" s="7"/>
      <c r="AT138" s="391"/>
      <c r="AU138" s="324"/>
      <c r="AW138" s="7"/>
      <c r="AX138" s="392"/>
      <c r="AY138" s="7"/>
    </row>
    <row r="139" spans="1:51" ht="17" thickBot="1" x14ac:dyDescent="0.25">
      <c r="A139" s="695">
        <f>'Battery Design'!F513</f>
        <v>6</v>
      </c>
      <c r="B139" s="184" t="str">
        <f>'Battery Design'!B513</f>
        <v>Error: Pack production exceeds cell production</v>
      </c>
      <c r="AQ139" s="8"/>
      <c r="AS139" s="7"/>
      <c r="AT139" s="391"/>
      <c r="AU139" s="324"/>
      <c r="AW139" s="7"/>
      <c r="AX139" s="392"/>
      <c r="AY139" s="7"/>
    </row>
    <row r="140" spans="1:51" x14ac:dyDescent="0.2">
      <c r="A140" s="695"/>
      <c r="B140" s="184"/>
      <c r="N140" s="1111"/>
      <c r="O140" s="49"/>
      <c r="P140" s="182"/>
      <c r="Q140" s="182"/>
      <c r="R140" s="1112" t="s">
        <v>2341</v>
      </c>
      <c r="S140" s="182"/>
      <c r="T140" s="183"/>
      <c r="U140" s="183"/>
      <c r="V140" s="183"/>
      <c r="W140" s="183"/>
      <c r="AP140" s="5" t="s">
        <v>2342</v>
      </c>
    </row>
    <row r="141" spans="1:51" x14ac:dyDescent="0.2">
      <c r="A141" s="695"/>
      <c r="B141" s="843" t="str">
        <f>'Battery Design'!B515</f>
        <v>Warnings</v>
      </c>
      <c r="N141" s="228"/>
      <c r="O141" s="8" t="s">
        <v>2343</v>
      </c>
      <c r="P141" s="193">
        <v>0</v>
      </c>
      <c r="Q141" s="193">
        <v>5</v>
      </c>
      <c r="R141" s="193">
        <v>10</v>
      </c>
      <c r="S141" s="193">
        <v>15</v>
      </c>
      <c r="T141" s="1113">
        <v>20</v>
      </c>
      <c r="U141" s="1113">
        <v>25</v>
      </c>
      <c r="V141" s="1113">
        <v>30</v>
      </c>
      <c r="W141" s="1113">
        <v>35</v>
      </c>
      <c r="AQ141" s="8" t="s">
        <v>318</v>
      </c>
      <c r="AR141" s="8" t="s">
        <v>2344</v>
      </c>
    </row>
    <row r="142" spans="1:51" x14ac:dyDescent="0.2">
      <c r="A142" s="695">
        <f>'Battery Design'!F516</f>
        <v>7</v>
      </c>
      <c r="B142" s="184" t="str">
        <f>'Battery Design'!B516</f>
        <v>Warning: Number of modules rows not 1, 2 or 4 (number and size of busbars may become excessive)</v>
      </c>
      <c r="N142" s="357" t="s">
        <v>2345</v>
      </c>
      <c r="O142" t="str" cm="1">
        <f t="array" ref="O142">INDEX(P142:T142, Dashboard!$D$29/5+1)</f>
        <v>G</v>
      </c>
      <c r="P142" s="8" t="s">
        <v>295</v>
      </c>
      <c r="Q142" s="8" t="s">
        <v>2249</v>
      </c>
      <c r="R142" s="8" t="s">
        <v>2250</v>
      </c>
      <c r="S142" s="8" t="s">
        <v>2251</v>
      </c>
      <c r="T142" s="590" t="s">
        <v>2252</v>
      </c>
      <c r="U142" s="590" t="s">
        <v>2346</v>
      </c>
      <c r="V142" s="590" t="s">
        <v>2347</v>
      </c>
      <c r="W142" s="590" t="s">
        <v>2348</v>
      </c>
      <c r="AQ142" t="s">
        <v>2349</v>
      </c>
      <c r="AR142" s="8" t="s">
        <v>2350</v>
      </c>
    </row>
    <row r="143" spans="1:51" x14ac:dyDescent="0.2">
      <c r="A143" s="695">
        <f>'Battery Design'!F517</f>
        <v>8</v>
      </c>
      <c r="B143" s="184" t="str">
        <f>'Battery Design'!B517</f>
        <v>Warning: Number of modules in parallel should be 1 or 2 (number and mass of interconnects may be underestimated)</v>
      </c>
      <c r="N143" s="566" t="s">
        <v>790</v>
      </c>
      <c r="O143" cm="1">
        <f t="array" ref="O143">INDEX(P143:T143, Dashboard!$D$29/5+1)</f>
        <v>0</v>
      </c>
      <c r="P143">
        <v>0</v>
      </c>
      <c r="Q143">
        <v>108</v>
      </c>
      <c r="R143">
        <v>216</v>
      </c>
      <c r="S143">
        <v>324</v>
      </c>
      <c r="T143" s="229">
        <v>432</v>
      </c>
      <c r="U143" s="229">
        <v>756</v>
      </c>
      <c r="V143" s="229">
        <v>756</v>
      </c>
      <c r="W143" s="229">
        <v>756</v>
      </c>
      <c r="AP143" s="8" t="s">
        <v>762</v>
      </c>
      <c r="AQ143">
        <v>1.03</v>
      </c>
      <c r="AR143">
        <v>6.5</v>
      </c>
    </row>
    <row r="144" spans="1:51" x14ac:dyDescent="0.2">
      <c r="A144" s="695">
        <f>'Battery Design'!F518</f>
        <v>9</v>
      </c>
      <c r="B144" s="184" t="str">
        <f>'Battery Design'!B518</f>
        <v>Warning: Pulse ends in reserve safety margin (voltage drops too low)</v>
      </c>
      <c r="N144" s="569" t="s">
        <v>800</v>
      </c>
      <c r="O144" cm="1">
        <f t="array" ref="O144">INDEX(P144:T144, Dashboard!$D$29/5+1)</f>
        <v>0</v>
      </c>
      <c r="P144">
        <v>0</v>
      </c>
      <c r="Q144">
        <v>0</v>
      </c>
      <c r="R144">
        <v>0</v>
      </c>
      <c r="S144">
        <v>0</v>
      </c>
      <c r="T144" s="229">
        <v>0</v>
      </c>
      <c r="U144" s="229">
        <v>0</v>
      </c>
      <c r="V144" s="229">
        <v>0</v>
      </c>
      <c r="W144" s="229">
        <v>0</v>
      </c>
      <c r="AP144" s="8" t="s">
        <v>797</v>
      </c>
      <c r="AQ144">
        <v>1</v>
      </c>
      <c r="AR144">
        <v>0.75</v>
      </c>
    </row>
    <row r="145" spans="1:51" x14ac:dyDescent="0.2">
      <c r="A145" s="695">
        <f>'Battery Design'!F519</f>
        <v>10</v>
      </c>
      <c r="B145" s="184" t="str">
        <f>'Battery Design'!B519</f>
        <v>Warning: Power couple selected but energy couple may be more suitable for selected vehicle</v>
      </c>
      <c r="N145" s="578" t="s">
        <v>808</v>
      </c>
      <c r="O145" cm="1">
        <f t="array" ref="O145">INDEX(P145:T145, Dashboard!$D$29/5+1)</f>
        <v>0</v>
      </c>
      <c r="P145">
        <v>0</v>
      </c>
      <c r="Q145">
        <v>0</v>
      </c>
      <c r="R145">
        <v>0</v>
      </c>
      <c r="S145">
        <v>0</v>
      </c>
      <c r="T145" s="229">
        <v>0</v>
      </c>
      <c r="U145" s="229">
        <v>0</v>
      </c>
      <c r="V145" s="229">
        <v>0</v>
      </c>
      <c r="W145" s="229">
        <v>0</v>
      </c>
    </row>
    <row r="146" spans="1:51" x14ac:dyDescent="0.2">
      <c r="A146" s="695">
        <f>'Battery Design'!F520</f>
        <v>11</v>
      </c>
      <c r="B146" s="184" t="str">
        <f>'Battery Design'!B520</f>
        <v>Warning: Energy couple selected but power couple may be more suitable for selected vehicle</v>
      </c>
      <c r="N146" s="569" t="s">
        <v>809</v>
      </c>
      <c r="O146" cm="1">
        <f t="array" ref="O146">INDEX(P146:T146, Dashboard!$D$29/5+1)</f>
        <v>0</v>
      </c>
      <c r="P146">
        <v>0</v>
      </c>
      <c r="Q146">
        <v>0</v>
      </c>
      <c r="R146">
        <v>0</v>
      </c>
      <c r="S146">
        <v>0</v>
      </c>
      <c r="T146" s="229">
        <v>0</v>
      </c>
      <c r="U146" s="229">
        <v>0</v>
      </c>
      <c r="V146" s="229">
        <v>0</v>
      </c>
      <c r="W146" s="229">
        <v>0</v>
      </c>
    </row>
    <row r="147" spans="1:51" x14ac:dyDescent="0.2">
      <c r="A147" s="695">
        <f>'Battery Design'!F521</f>
        <v>12</v>
      </c>
      <c r="B147" s="184" t="str">
        <f>'Battery Design'!B521</f>
        <v>Warning: Pack size exceeds 5 ft in multiple dimensions (may exceed dimensions of vehicle)</v>
      </c>
      <c r="N147" s="228"/>
      <c r="T147" s="229"/>
      <c r="U147" s="229"/>
      <c r="V147" s="229"/>
      <c r="W147" s="229"/>
    </row>
    <row r="148" spans="1:51" x14ac:dyDescent="0.2">
      <c r="A148" s="695">
        <f>'Battery Design'!F522</f>
        <v>13</v>
      </c>
      <c r="B148" s="184" t="str">
        <f>'Battery Design'!B522</f>
        <v>Warning: Pack voltage exceeds 1000 V (BMS cost and size will be underestimated)</v>
      </c>
      <c r="N148" s="475"/>
      <c r="T148" s="229"/>
      <c r="U148" s="229"/>
      <c r="V148" s="229"/>
      <c r="W148" s="229"/>
    </row>
    <row r="149" spans="1:51" x14ac:dyDescent="0.2">
      <c r="A149" s="695">
        <f>'Battery Design'!F523</f>
        <v>14</v>
      </c>
      <c r="B149" s="184" t="str">
        <f>'Battery Design'!B523</f>
        <v>Warning: Desired charge time requires a charging power which exceeds input charger power</v>
      </c>
      <c r="N149" s="475" t="s">
        <v>842</v>
      </c>
      <c r="T149" s="229"/>
      <c r="U149" s="229"/>
      <c r="V149" s="229"/>
      <c r="W149" s="229"/>
    </row>
    <row r="150" spans="1:51" ht="17" thickBot="1" x14ac:dyDescent="0.25">
      <c r="A150" s="1188">
        <f>'Battery Design'!F524</f>
        <v>15</v>
      </c>
      <c r="B150" s="186" t="str">
        <f>'Battery Design'!B524</f>
        <v>Warning: Fast charge algorithm has not been refined for silicon addition</v>
      </c>
      <c r="N150" s="584" t="s">
        <v>843</v>
      </c>
      <c r="O150" cm="1">
        <f t="array" ref="O150">INDEX(P150:T150, Dashboard!$D$29/5+1)</f>
        <v>0</v>
      </c>
      <c r="P150">
        <v>0</v>
      </c>
      <c r="Q150" s="33">
        <v>-0.24357904600000002</v>
      </c>
      <c r="R150" s="33">
        <v>-0.236899046</v>
      </c>
      <c r="S150" s="33">
        <v>-0.24371904600000005</v>
      </c>
      <c r="T150" s="1117">
        <v>-0.23615904600000004</v>
      </c>
      <c r="U150" s="1117">
        <v>-0.23427904600000005</v>
      </c>
      <c r="V150" s="1117">
        <v>-0.23481904600000003</v>
      </c>
      <c r="W150" s="1117">
        <v>-0.23605904600000005</v>
      </c>
    </row>
    <row r="151" spans="1:51" x14ac:dyDescent="0.2">
      <c r="N151" s="584" t="s">
        <v>844</v>
      </c>
      <c r="O151" cm="1">
        <f t="array" ref="O151">INDEX(P151:T151, Dashboard!$D$29/5+1)</f>
        <v>0</v>
      </c>
      <c r="P151">
        <v>0</v>
      </c>
      <c r="Q151" s="33">
        <v>-0.16299875859166943</v>
      </c>
      <c r="R151" s="33">
        <v>-0.20948464772267514</v>
      </c>
      <c r="S151" s="33">
        <v>-0.22631717410119626</v>
      </c>
      <c r="T151" s="1117">
        <v>-0.23376700724487134</v>
      </c>
      <c r="U151" s="1117">
        <v>-0.23891421915497532</v>
      </c>
      <c r="V151" s="1117">
        <v>-0.24310798853052515</v>
      </c>
      <c r="W151" s="1117">
        <v>-0.245694934321571</v>
      </c>
    </row>
    <row r="152" spans="1:51" x14ac:dyDescent="0.2">
      <c r="N152" s="584" t="s">
        <v>845</v>
      </c>
      <c r="O152" cm="1">
        <f t="array" ref="O152">INDEX(P152:T152, Dashboard!$D$29/5+1)</f>
        <v>0</v>
      </c>
      <c r="P152">
        <v>0</v>
      </c>
      <c r="Q152" s="33">
        <v>-0.11851386278167036</v>
      </c>
      <c r="R152" s="33">
        <v>-0.16936798938734426</v>
      </c>
      <c r="S152" s="33">
        <v>-0.19536588060790538</v>
      </c>
      <c r="T152" s="1117">
        <v>-0.21102387795112282</v>
      </c>
      <c r="U152" s="1117">
        <v>-0.22204674941965435</v>
      </c>
      <c r="V152" s="1117">
        <v>-0.23011707490268313</v>
      </c>
      <c r="W152" s="1117">
        <v>-0.234706892938286</v>
      </c>
    </row>
    <row r="153" spans="1:51" ht="13" x14ac:dyDescent="0.15">
      <c r="B153" s="838" t="s">
        <v>2351</v>
      </c>
      <c r="C153" s="1140"/>
      <c r="D153" s="1142"/>
      <c r="N153" s="584" t="s">
        <v>846</v>
      </c>
      <c r="O153" cm="1">
        <f t="array" ref="O153">INDEX(P153:T153, Dashboard!$D$29/5+1)</f>
        <v>0</v>
      </c>
      <c r="P153">
        <v>0</v>
      </c>
      <c r="Q153" s="33">
        <v>-8.591852443609993E-2</v>
      </c>
      <c r="R153" s="33">
        <v>-0.14628145530927977</v>
      </c>
      <c r="S153" s="33">
        <v>-0.17150389744613909</v>
      </c>
      <c r="T153" s="1117">
        <v>-0.18632888179925766</v>
      </c>
      <c r="U153" s="1117">
        <v>-0.19752080883439799</v>
      </c>
      <c r="V153" s="1117">
        <v>-0.20576487173774421</v>
      </c>
      <c r="W153" s="1117">
        <v>-0.21061812520510459</v>
      </c>
    </row>
    <row r="154" spans="1:51" ht="13" x14ac:dyDescent="0.15">
      <c r="B154" s="181" t="s">
        <v>2352</v>
      </c>
      <c r="C154" s="1141" cm="1">
        <f t="array" ref="C154">INDEX(C156:C158,$B$155)</f>
        <v>0</v>
      </c>
      <c r="D154" s="1143"/>
      <c r="N154" s="584" t="s">
        <v>847</v>
      </c>
      <c r="O154" cm="1">
        <f t="array" ref="O154">INDEX(P154:T154, Dashboard!$D$29/5+1)</f>
        <v>0</v>
      </c>
      <c r="P154">
        <v>0</v>
      </c>
      <c r="Q154" s="33">
        <v>-4.2900678057750496E-2</v>
      </c>
      <c r="R154" s="33">
        <v>-0.10385525010134719</v>
      </c>
      <c r="S154" s="33">
        <v>-0.13597746149584267</v>
      </c>
      <c r="T154" s="1117">
        <v>-0.15236478737201536</v>
      </c>
      <c r="U154" s="1117">
        <v>-0.16349809337140764</v>
      </c>
      <c r="V154" s="1117">
        <v>-0.17132494587142838</v>
      </c>
      <c r="W154" s="1117">
        <v>-0.17603684847684659</v>
      </c>
    </row>
    <row r="155" spans="1:51" ht="13" x14ac:dyDescent="0.15">
      <c r="A155" s="8"/>
      <c r="B155" s="693">
        <f>MATCH(Dashboard!D106,B156:B158, 0)</f>
        <v>1</v>
      </c>
      <c r="C155" s="1216" t="s">
        <v>2353</v>
      </c>
      <c r="D155" s="1144"/>
      <c r="N155" s="584" t="s">
        <v>848</v>
      </c>
      <c r="O155" cm="1">
        <f t="array" ref="O155">INDEX(P155:T155, Dashboard!$D$29/5+1)</f>
        <v>0</v>
      </c>
      <c r="P155">
        <v>0</v>
      </c>
      <c r="Q155" s="33">
        <v>-8.5759508004408791E-3</v>
      </c>
      <c r="R155" s="33">
        <v>-6.766622789382376E-2</v>
      </c>
      <c r="S155" s="33">
        <v>-0.10322661535747762</v>
      </c>
      <c r="T155" s="1117">
        <v>-0.12579871894671307</v>
      </c>
      <c r="U155" s="1117">
        <v>-0.1392466573849615</v>
      </c>
      <c r="V155" s="1117">
        <v>-0.14764245471814658</v>
      </c>
      <c r="W155" s="1117">
        <v>-0.15281804773242275</v>
      </c>
      <c r="AY155" s="8"/>
    </row>
    <row r="156" spans="1:51" ht="13" x14ac:dyDescent="0.15">
      <c r="B156" s="838" t="s">
        <v>98</v>
      </c>
      <c r="C156" s="1141">
        <v>0</v>
      </c>
      <c r="D156" s="1143"/>
      <c r="E156" s="45"/>
      <c r="F156" s="45"/>
      <c r="N156" s="584" t="s">
        <v>849</v>
      </c>
      <c r="O156" cm="1">
        <f t="array" ref="O156">INDEX(P156:T156, Dashboard!$D$29/5+1)</f>
        <v>0</v>
      </c>
      <c r="P156">
        <v>0</v>
      </c>
      <c r="Q156" s="33">
        <v>-3.7540936515316495E-2</v>
      </c>
      <c r="R156" s="33">
        <v>-4.6000890090088689E-2</v>
      </c>
      <c r="S156" s="33">
        <v>-9.4402204946517979E-2</v>
      </c>
      <c r="T156" s="1117">
        <v>-0.12519078257374866</v>
      </c>
      <c r="U156" s="1117">
        <v>-0.14193345684222536</v>
      </c>
      <c r="V156" s="1117">
        <v>-0.15379280397176248</v>
      </c>
      <c r="W156" s="1117">
        <v>-0.16017831092797563</v>
      </c>
      <c r="AY156" s="8"/>
    </row>
    <row r="157" spans="1:51" ht="13" x14ac:dyDescent="0.15">
      <c r="B157" s="838" t="s">
        <v>2354</v>
      </c>
      <c r="C157" s="1141">
        <v>0</v>
      </c>
      <c r="D157" s="1143"/>
      <c r="N157" s="584" t="s">
        <v>850</v>
      </c>
      <c r="O157" cm="1">
        <f t="array" ref="O157">INDEX(P157:T157, Dashboard!$D$29/5+1)</f>
        <v>0</v>
      </c>
      <c r="P157">
        <v>0</v>
      </c>
      <c r="Q157" s="33">
        <v>-5.6972320426817297E-3</v>
      </c>
      <c r="R157" s="33">
        <v>-3.8630068506834744E-2</v>
      </c>
      <c r="S157" s="33">
        <v>-4.2400544719323793E-2</v>
      </c>
      <c r="T157" s="1117">
        <v>-7.1716980876527878E-2</v>
      </c>
      <c r="U157" s="1117">
        <v>-0.10529872438934849</v>
      </c>
      <c r="V157" s="1117">
        <v>-0.12445327835475721</v>
      </c>
      <c r="W157" s="1117">
        <v>-0.13136964992676342</v>
      </c>
    </row>
    <row r="158" spans="1:51" ht="13" x14ac:dyDescent="0.15">
      <c r="B158" s="838" t="s">
        <v>2355</v>
      </c>
      <c r="C158" s="1141">
        <v>1</v>
      </c>
      <c r="D158" s="1143"/>
      <c r="N158" s="584" t="s">
        <v>851</v>
      </c>
      <c r="O158" cm="1">
        <f t="array" ref="O158">INDEX(P158:T158, Dashboard!$D$29/5+1)</f>
        <v>0</v>
      </c>
      <c r="P158">
        <v>0</v>
      </c>
      <c r="Q158" s="33">
        <v>-1.1599686882392685E-3</v>
      </c>
      <c r="R158" s="33">
        <v>-2.4076098580265992E-3</v>
      </c>
      <c r="S158" s="33">
        <v>-2.0923861770444419E-2</v>
      </c>
      <c r="T158" s="1117">
        <v>-3.9434708973889288E-2</v>
      </c>
      <c r="U158" s="1117">
        <v>-4.3098402317486073E-2</v>
      </c>
      <c r="V158" s="1117">
        <v>-6.2859576429833697E-2</v>
      </c>
      <c r="W158" s="1117">
        <v>-8.2014849614783392E-2</v>
      </c>
    </row>
    <row r="159" spans="1:51" ht="13" x14ac:dyDescent="0.15">
      <c r="B159" s="8"/>
      <c r="C159" s="46"/>
      <c r="D159" s="46"/>
      <c r="N159" s="584" t="s">
        <v>852</v>
      </c>
      <c r="O159" cm="1">
        <f t="array" ref="O159">INDEX(P159:T159, Dashboard!$D$29/5+1)</f>
        <v>0</v>
      </c>
      <c r="P159">
        <v>0</v>
      </c>
      <c r="Q159" s="33">
        <v>-1.9480412626505655E-3</v>
      </c>
      <c r="R159" s="33">
        <v>-2.2087613860171246E-3</v>
      </c>
      <c r="S159" s="33">
        <v>-3.1118919808772461E-3</v>
      </c>
      <c r="T159" s="1117">
        <v>-3.7526764870936535E-3</v>
      </c>
      <c r="U159" s="1117">
        <v>-4.4216717404597095E-3</v>
      </c>
      <c r="V159" s="1117">
        <v>-9.8970730578800958E-3</v>
      </c>
      <c r="W159" s="1117">
        <v>-1.7932459706815979E-2</v>
      </c>
    </row>
    <row r="160" spans="1:51" ht="13" x14ac:dyDescent="0.15">
      <c r="B160" s="8"/>
      <c r="C160" s="46"/>
      <c r="D160" s="46"/>
      <c r="N160" s="584" t="s">
        <v>853</v>
      </c>
      <c r="O160" cm="1">
        <f t="array" ref="O160">INDEX(P160:T160, Dashboard!$D$29/5+1)</f>
        <v>0</v>
      </c>
      <c r="P160">
        <v>0</v>
      </c>
      <c r="Q160" s="1118">
        <v>-2.8330780000000028E-3</v>
      </c>
      <c r="R160" s="1118">
        <v>-3.8520780000000088E-3</v>
      </c>
      <c r="S160" s="1118">
        <v>6.3819219999999913E-3</v>
      </c>
      <c r="T160" s="1119">
        <v>9.4049219999999961E-3</v>
      </c>
      <c r="U160" s="1119">
        <v>-6.7850779999999999E-3</v>
      </c>
      <c r="V160" s="1119">
        <v>-1.3447078000000001E-2</v>
      </c>
      <c r="W160" s="1119">
        <v>1.4199921999999997E-2</v>
      </c>
    </row>
    <row r="161" spans="2:46" ht="13" x14ac:dyDescent="0.15">
      <c r="B161" s="838" t="s">
        <v>2356</v>
      </c>
      <c r="C161" s="181"/>
      <c r="D161" s="181"/>
      <c r="N161" s="228"/>
      <c r="T161" s="229"/>
      <c r="U161" s="229"/>
      <c r="V161" s="229"/>
      <c r="W161" s="229"/>
    </row>
    <row r="162" spans="2:46" x14ac:dyDescent="0.2">
      <c r="B162" s="181" t="s">
        <v>2352</v>
      </c>
      <c r="C162" s="192" cm="1">
        <f t="array" ref="C162">INDEX(C164:C165,$B$163)</f>
        <v>1</v>
      </c>
      <c r="D162" s="192" cm="1">
        <f t="array" ref="D162">INDEX(D164:D165,$B$163)</f>
        <v>1</v>
      </c>
      <c r="N162" s="475" t="s">
        <v>854</v>
      </c>
      <c r="T162" s="229"/>
      <c r="U162" s="229"/>
      <c r="V162" s="229"/>
      <c r="W162" s="229"/>
    </row>
    <row r="163" spans="2:46" ht="14" thickBot="1" x14ac:dyDescent="0.2">
      <c r="B163" s="693">
        <f>MATCH(Dashboard!D123,B164:B165, 0)</f>
        <v>1</v>
      </c>
      <c r="C163" s="1218" t="s">
        <v>2357</v>
      </c>
      <c r="D163" s="1218" t="s">
        <v>2358</v>
      </c>
      <c r="N163" s="584" t="s">
        <v>856</v>
      </c>
      <c r="O163" cm="1">
        <f t="array" ref="O163">INDEX(P163:T163, Dashboard!$D$29/5+1)</f>
        <v>0</v>
      </c>
      <c r="P163">
        <v>0</v>
      </c>
      <c r="Q163">
        <f>Q164*1.7</f>
        <v>2.5499999999999998</v>
      </c>
      <c r="R163">
        <f t="shared" ref="R163:W163" si="6">R164*1.7</f>
        <v>5.0999999999999996</v>
      </c>
      <c r="S163">
        <f t="shared" si="6"/>
        <v>7.6499999999999995</v>
      </c>
      <c r="T163" s="229">
        <f t="shared" si="6"/>
        <v>10.199999999999999</v>
      </c>
      <c r="U163" s="229">
        <f t="shared" si="6"/>
        <v>12.75</v>
      </c>
      <c r="V163" s="229">
        <f t="shared" si="6"/>
        <v>15.299999999999999</v>
      </c>
      <c r="W163" s="229">
        <f t="shared" si="6"/>
        <v>17.849999999999998</v>
      </c>
    </row>
    <row r="164" spans="2:46" ht="15" thickBot="1" x14ac:dyDescent="0.2">
      <c r="B164" s="838" t="s">
        <v>107</v>
      </c>
      <c r="C164" s="192">
        <v>1</v>
      </c>
      <c r="D164" s="192">
        <v>1</v>
      </c>
      <c r="N164" s="584" t="s">
        <v>858</v>
      </c>
      <c r="O164" cm="1">
        <f t="array" ref="O164">INDEX(P164:T164, Dashboard!$D$29/5+1)</f>
        <v>0</v>
      </c>
      <c r="P164">
        <v>0</v>
      </c>
      <c r="Q164">
        <f>Q165*1.5</f>
        <v>1.5</v>
      </c>
      <c r="R164">
        <f t="shared" ref="R164:W164" si="7">R165*1.5</f>
        <v>3</v>
      </c>
      <c r="S164">
        <f t="shared" si="7"/>
        <v>4.5</v>
      </c>
      <c r="T164" s="229">
        <f t="shared" si="7"/>
        <v>6</v>
      </c>
      <c r="U164" s="229">
        <f t="shared" si="7"/>
        <v>7.5</v>
      </c>
      <c r="V164" s="229">
        <f t="shared" si="7"/>
        <v>9</v>
      </c>
      <c r="W164" s="229">
        <f t="shared" si="7"/>
        <v>10.5</v>
      </c>
      <c r="AQ164" s="1273" t="s">
        <v>2359</v>
      </c>
      <c r="AR164" s="1274"/>
      <c r="AS164" s="1274"/>
      <c r="AT164" s="1275"/>
    </row>
    <row r="165" spans="2:46" ht="14" x14ac:dyDescent="0.15">
      <c r="B165" s="838" t="s">
        <v>2360</v>
      </c>
      <c r="C165" s="192">
        <v>0</v>
      </c>
      <c r="D165" s="192">
        <v>0</v>
      </c>
      <c r="N165" s="584" t="s">
        <v>860</v>
      </c>
      <c r="O165" cm="1">
        <f t="array" ref="O165">INDEX(P165:T165, Dashboard!$D$29/5+1)</f>
        <v>0</v>
      </c>
      <c r="P165">
        <v>0</v>
      </c>
      <c r="Q165">
        <v>1</v>
      </c>
      <c r="R165">
        <v>2</v>
      </c>
      <c r="S165">
        <v>3</v>
      </c>
      <c r="T165" s="229">
        <v>4</v>
      </c>
      <c r="U165" s="229">
        <v>5</v>
      </c>
      <c r="V165" s="229">
        <v>6</v>
      </c>
      <c r="W165" s="229">
        <v>7</v>
      </c>
      <c r="AQ165" s="187" t="s">
        <v>284</v>
      </c>
      <c r="AR165" s="188" t="s">
        <v>2361</v>
      </c>
      <c r="AS165" s="188" t="s">
        <v>285</v>
      </c>
      <c r="AT165" s="189" t="s">
        <v>2362</v>
      </c>
    </row>
    <row r="166" spans="2:46" x14ac:dyDescent="0.2">
      <c r="N166" s="584" t="s">
        <v>862</v>
      </c>
      <c r="O166" cm="1">
        <f t="array" ref="O166">INDEX(P166:T166, Dashboard!$D$29/5+1)</f>
        <v>0</v>
      </c>
      <c r="P166">
        <v>0</v>
      </c>
      <c r="Q166">
        <v>1</v>
      </c>
      <c r="R166">
        <v>2</v>
      </c>
      <c r="S166">
        <v>3</v>
      </c>
      <c r="T166" s="229">
        <v>4</v>
      </c>
      <c r="U166" s="229">
        <v>5</v>
      </c>
      <c r="V166" s="229">
        <v>6</v>
      </c>
      <c r="W166" s="229">
        <v>7</v>
      </c>
      <c r="AQ166" s="181" t="s">
        <v>2363</v>
      </c>
      <c r="AR166" s="181" t="s">
        <v>2364</v>
      </c>
      <c r="AS166" s="181">
        <f>1.380649*10^-23</f>
        <v>1.3806490000000001E-23</v>
      </c>
      <c r="AT166" s="181" t="s">
        <v>2365</v>
      </c>
    </row>
    <row r="167" spans="2:46" x14ac:dyDescent="0.2">
      <c r="N167" s="584" t="s">
        <v>864</v>
      </c>
      <c r="O167" cm="1">
        <f t="array" ref="O167">INDEX(P167:T167, Dashboard!$D$29/5+1)</f>
        <v>0</v>
      </c>
      <c r="P167">
        <v>0</v>
      </c>
      <c r="Q167">
        <v>1</v>
      </c>
      <c r="R167">
        <v>2</v>
      </c>
      <c r="S167">
        <v>3</v>
      </c>
      <c r="T167" s="229">
        <v>4</v>
      </c>
      <c r="U167" s="229">
        <v>5</v>
      </c>
      <c r="V167" s="229">
        <v>6</v>
      </c>
      <c r="W167" s="229">
        <v>7</v>
      </c>
      <c r="AQ167" s="181" t="s">
        <v>2366</v>
      </c>
      <c r="AR167" s="181" t="s">
        <v>2367</v>
      </c>
      <c r="AS167" s="180">
        <f>6.02214*10^23</f>
        <v>6.0221399999999997E+23</v>
      </c>
      <c r="AT167" s="181" t="s">
        <v>2368</v>
      </c>
    </row>
    <row r="168" spans="2:46" x14ac:dyDescent="0.2">
      <c r="C168" s="5"/>
      <c r="N168" s="584" t="s">
        <v>866</v>
      </c>
      <c r="O168" cm="1">
        <f t="array" ref="O168">INDEX(P168:T168, Dashboard!$D$29/5+1)</f>
        <v>0</v>
      </c>
      <c r="P168">
        <v>0</v>
      </c>
      <c r="Q168">
        <v>1</v>
      </c>
      <c r="R168">
        <v>2</v>
      </c>
      <c r="S168">
        <v>3</v>
      </c>
      <c r="T168" s="229">
        <v>4</v>
      </c>
      <c r="U168" s="229">
        <v>5</v>
      </c>
      <c r="V168" s="229">
        <v>6</v>
      </c>
      <c r="W168" s="229">
        <v>7</v>
      </c>
      <c r="AQ168" s="181" t="s">
        <v>2369</v>
      </c>
      <c r="AR168" s="181" t="s">
        <v>2370</v>
      </c>
      <c r="AS168" s="180">
        <v>8.3140000000000001</v>
      </c>
      <c r="AT168" s="181" t="s">
        <v>2371</v>
      </c>
    </row>
    <row r="169" spans="2:46" ht="14" x14ac:dyDescent="0.15">
      <c r="C169" s="837"/>
      <c r="N169" s="584" t="s">
        <v>868</v>
      </c>
      <c r="O169" cm="1">
        <f t="array" ref="O169">INDEX(P169:T169, Dashboard!$D$29/5+1)</f>
        <v>0</v>
      </c>
      <c r="P169">
        <v>0</v>
      </c>
      <c r="Q169">
        <v>1</v>
      </c>
      <c r="R169">
        <v>2</v>
      </c>
      <c r="S169">
        <v>3</v>
      </c>
      <c r="T169" s="229">
        <v>4</v>
      </c>
      <c r="U169" s="229">
        <v>5</v>
      </c>
      <c r="V169" s="229">
        <v>6</v>
      </c>
      <c r="W169" s="229">
        <v>7</v>
      </c>
      <c r="AQ169" s="181" t="s">
        <v>2372</v>
      </c>
      <c r="AR169" s="181" t="s">
        <v>2373</v>
      </c>
      <c r="AS169" s="181">
        <v>2.7</v>
      </c>
      <c r="AT169" s="181" t="s">
        <v>2349</v>
      </c>
    </row>
    <row r="170" spans="2:46" ht="13" x14ac:dyDescent="0.15">
      <c r="C170"/>
      <c r="N170" s="584" t="s">
        <v>870</v>
      </c>
      <c r="O170" cm="1">
        <f t="array" ref="O170">INDEX(P170:T170, Dashboard!$D$29/5+1)</f>
        <v>0</v>
      </c>
      <c r="P170">
        <v>0</v>
      </c>
      <c r="Q170">
        <v>1</v>
      </c>
      <c r="R170">
        <v>2</v>
      </c>
      <c r="S170">
        <v>3</v>
      </c>
      <c r="T170" s="229">
        <v>4</v>
      </c>
      <c r="U170" s="229">
        <v>5</v>
      </c>
      <c r="V170" s="229">
        <v>6</v>
      </c>
      <c r="W170" s="229">
        <v>7</v>
      </c>
      <c r="AQ170" s="181" t="s">
        <v>2374</v>
      </c>
      <c r="AR170" s="181" t="s">
        <v>2375</v>
      </c>
      <c r="AS170" s="180">
        <v>8.9600000000000009</v>
      </c>
      <c r="AT170" s="181" t="s">
        <v>2349</v>
      </c>
    </row>
    <row r="171" spans="2:46" x14ac:dyDescent="0.2">
      <c r="C171" s="5"/>
      <c r="N171" s="584" t="s">
        <v>872</v>
      </c>
      <c r="O171" cm="1">
        <f t="array" ref="O171">INDEX(P171:T171, Dashboard!$D$29/5+1)</f>
        <v>0</v>
      </c>
      <c r="P171">
        <v>0</v>
      </c>
      <c r="Q171">
        <v>1</v>
      </c>
      <c r="R171">
        <v>2</v>
      </c>
      <c r="S171">
        <v>3</v>
      </c>
      <c r="T171" s="229">
        <v>4</v>
      </c>
      <c r="U171" s="229">
        <v>5</v>
      </c>
      <c r="V171" s="229">
        <v>6</v>
      </c>
      <c r="W171" s="229">
        <v>7</v>
      </c>
      <c r="AQ171" s="181" t="s">
        <v>2376</v>
      </c>
      <c r="AR171" s="181" t="s">
        <v>2377</v>
      </c>
      <c r="AS171" s="181">
        <v>0.94599999999999995</v>
      </c>
      <c r="AT171" s="181" t="s">
        <v>2349</v>
      </c>
    </row>
    <row r="172" spans="2:46" ht="14" x14ac:dyDescent="0.15">
      <c r="C172" s="837"/>
      <c r="N172" s="584" t="s">
        <v>874</v>
      </c>
      <c r="O172" cm="1">
        <f t="array" ref="O172">INDEX(P172:T172, Dashboard!$D$29/5+1)</f>
        <v>0</v>
      </c>
      <c r="P172">
        <v>0</v>
      </c>
      <c r="Q172">
        <v>1</v>
      </c>
      <c r="R172">
        <v>2</v>
      </c>
      <c r="S172">
        <v>3</v>
      </c>
      <c r="T172" s="229">
        <v>4</v>
      </c>
      <c r="U172" s="229">
        <v>5</v>
      </c>
      <c r="V172" s="229">
        <v>6</v>
      </c>
      <c r="W172" s="229">
        <v>7</v>
      </c>
      <c r="AQ172" s="181" t="s">
        <v>2378</v>
      </c>
      <c r="AR172" s="181" t="s">
        <v>2379</v>
      </c>
      <c r="AS172" s="181">
        <v>1.38</v>
      </c>
      <c r="AT172" s="181" t="s">
        <v>2349</v>
      </c>
    </row>
    <row r="173" spans="2:46" x14ac:dyDescent="0.2">
      <c r="N173" s="584" t="s">
        <v>876</v>
      </c>
      <c r="O173" cm="1">
        <f t="array" ref="O173">INDEX(P173:T173, Dashboard!$D$29/5+1)</f>
        <v>0</v>
      </c>
      <c r="P173">
        <v>0</v>
      </c>
      <c r="Q173">
        <f t="shared" ref="Q173:W173" si="8">Q172*1.05</f>
        <v>1.05</v>
      </c>
      <c r="R173">
        <f t="shared" si="8"/>
        <v>2.1</v>
      </c>
      <c r="S173">
        <f t="shared" si="8"/>
        <v>3.1500000000000004</v>
      </c>
      <c r="T173" s="229">
        <f t="shared" si="8"/>
        <v>4.2</v>
      </c>
      <c r="U173" s="229">
        <f t="shared" si="8"/>
        <v>5.25</v>
      </c>
      <c r="V173" s="229">
        <f t="shared" si="8"/>
        <v>6.3000000000000007</v>
      </c>
      <c r="W173" s="229">
        <f t="shared" si="8"/>
        <v>7.3500000000000005</v>
      </c>
      <c r="AQ173" s="181" t="s">
        <v>2380</v>
      </c>
      <c r="AR173" s="181" t="s">
        <v>2381</v>
      </c>
      <c r="AS173" s="180">
        <v>0.38548000000000004</v>
      </c>
      <c r="AT173" s="181" t="s">
        <v>2382</v>
      </c>
    </row>
    <row r="174" spans="2:46" x14ac:dyDescent="0.2">
      <c r="N174" s="584"/>
      <c r="T174" s="229"/>
      <c r="U174" s="229"/>
      <c r="V174" s="229"/>
      <c r="W174" s="229"/>
      <c r="AQ174" s="181" t="s">
        <v>2383</v>
      </c>
      <c r="AR174" s="181" t="s">
        <v>2384</v>
      </c>
      <c r="AS174" s="180">
        <v>0.90200000000000002</v>
      </c>
      <c r="AT174" s="181" t="s">
        <v>2382</v>
      </c>
    </row>
    <row r="175" spans="2:46" x14ac:dyDescent="0.2">
      <c r="N175" s="475" t="s">
        <v>878</v>
      </c>
      <c r="T175" s="229"/>
      <c r="U175" s="229"/>
      <c r="V175" s="229"/>
      <c r="W175" s="229"/>
      <c r="AQ175" s="181" t="s">
        <v>2385</v>
      </c>
      <c r="AR175" s="181" t="s">
        <v>2386</v>
      </c>
      <c r="AS175" s="180">
        <v>0.9</v>
      </c>
      <c r="AT175" s="181" t="s">
        <v>2349</v>
      </c>
    </row>
    <row r="176" spans="2:46" x14ac:dyDescent="0.2">
      <c r="N176" s="357" t="s">
        <v>880</v>
      </c>
      <c r="O176" cm="1">
        <f t="array" ref="O176">INDEX(P176:T176, Dashboard!$D$29/5+1)</f>
        <v>0</v>
      </c>
      <c r="P176">
        <v>0</v>
      </c>
      <c r="Q176">
        <f t="shared" ref="Q176:W176" si="9">Q177*1.7</f>
        <v>5.0999999999999996</v>
      </c>
      <c r="R176">
        <f t="shared" si="9"/>
        <v>10.199999999999999</v>
      </c>
      <c r="S176">
        <f t="shared" si="9"/>
        <v>15.299999999999999</v>
      </c>
      <c r="T176" s="229">
        <f t="shared" si="9"/>
        <v>20.399999999999999</v>
      </c>
      <c r="U176" s="229">
        <f t="shared" si="9"/>
        <v>25.5</v>
      </c>
      <c r="V176" s="229">
        <f t="shared" si="9"/>
        <v>30.599999999999998</v>
      </c>
      <c r="W176" s="229">
        <f t="shared" si="9"/>
        <v>35.699999999999996</v>
      </c>
      <c r="AQ176" s="181" t="s">
        <v>2387</v>
      </c>
      <c r="AR176" s="181" t="s">
        <v>2388</v>
      </c>
      <c r="AS176" s="190">
        <f>5.96*10^7</f>
        <v>59600000</v>
      </c>
      <c r="AT176" s="181" t="s">
        <v>2389</v>
      </c>
    </row>
    <row r="177" spans="14:46" x14ac:dyDescent="0.2">
      <c r="N177" s="357" t="s">
        <v>882</v>
      </c>
      <c r="O177" cm="1">
        <f t="array" ref="O177">INDEX(P177:T177, Dashboard!$D$29/5+1)</f>
        <v>0</v>
      </c>
      <c r="P177">
        <v>0</v>
      </c>
      <c r="Q177">
        <f t="shared" ref="Q177:W177" si="10">Q178*1.5</f>
        <v>3</v>
      </c>
      <c r="R177">
        <f t="shared" si="10"/>
        <v>6</v>
      </c>
      <c r="S177">
        <f t="shared" si="10"/>
        <v>9</v>
      </c>
      <c r="T177" s="229">
        <f t="shared" si="10"/>
        <v>12</v>
      </c>
      <c r="U177" s="229">
        <f t="shared" si="10"/>
        <v>15</v>
      </c>
      <c r="V177" s="229">
        <f t="shared" si="10"/>
        <v>18</v>
      </c>
      <c r="W177" s="229">
        <f t="shared" si="10"/>
        <v>21</v>
      </c>
      <c r="AQ177" s="181" t="s">
        <v>2390</v>
      </c>
      <c r="AR177" s="181" t="s">
        <v>2391</v>
      </c>
      <c r="AS177" s="190">
        <f>3.77*10^7</f>
        <v>37700000</v>
      </c>
      <c r="AT177" s="181" t="s">
        <v>2389</v>
      </c>
    </row>
    <row r="178" spans="14:46" x14ac:dyDescent="0.2">
      <c r="N178" s="357" t="s">
        <v>884</v>
      </c>
      <c r="O178" cm="1">
        <f t="array" ref="O178">INDEX(P178:T178, Dashboard!$D$29/5+1)</f>
        <v>0</v>
      </c>
      <c r="P178">
        <v>0</v>
      </c>
      <c r="Q178">
        <v>2</v>
      </c>
      <c r="R178">
        <v>4</v>
      </c>
      <c r="S178">
        <v>6</v>
      </c>
      <c r="T178" s="229">
        <v>8</v>
      </c>
      <c r="U178" s="229">
        <v>10</v>
      </c>
      <c r="V178" s="229">
        <v>12</v>
      </c>
      <c r="W178" s="229">
        <v>14</v>
      </c>
      <c r="AQ178" s="181" t="s">
        <v>2392</v>
      </c>
      <c r="AR178" s="181" t="s">
        <v>2393</v>
      </c>
      <c r="AS178" s="180">
        <v>7.8</v>
      </c>
      <c r="AT178" s="181" t="s">
        <v>2349</v>
      </c>
    </row>
    <row r="179" spans="14:46" x14ac:dyDescent="0.2">
      <c r="N179" s="357" t="s">
        <v>886</v>
      </c>
      <c r="O179" cm="1">
        <f t="array" ref="O179">INDEX(P179:T179, Dashboard!$D$29/5+1)</f>
        <v>0</v>
      </c>
      <c r="P179">
        <v>0</v>
      </c>
      <c r="Q179">
        <v>2</v>
      </c>
      <c r="R179">
        <v>4</v>
      </c>
      <c r="S179">
        <v>6</v>
      </c>
      <c r="T179" s="229">
        <v>8</v>
      </c>
      <c r="U179" s="229">
        <v>10</v>
      </c>
      <c r="V179" s="229">
        <v>12</v>
      </c>
      <c r="W179" s="229">
        <v>14</v>
      </c>
      <c r="AQ179" s="181" t="s">
        <v>2394</v>
      </c>
      <c r="AR179" s="181" t="s">
        <v>2395</v>
      </c>
      <c r="AS179" s="180">
        <v>2</v>
      </c>
      <c r="AT179" s="180" t="s">
        <v>2396</v>
      </c>
    </row>
    <row r="180" spans="14:46" x14ac:dyDescent="0.2">
      <c r="N180" s="357" t="s">
        <v>888</v>
      </c>
      <c r="O180" cm="1">
        <f t="array" ref="O180">INDEX(P180:T180, Dashboard!$D$29/5+1)</f>
        <v>0</v>
      </c>
      <c r="P180">
        <v>0</v>
      </c>
      <c r="Q180">
        <v>2</v>
      </c>
      <c r="R180">
        <v>4</v>
      </c>
      <c r="S180">
        <v>6</v>
      </c>
      <c r="T180" s="229">
        <v>8</v>
      </c>
      <c r="U180" s="229">
        <v>10</v>
      </c>
      <c r="V180" s="229">
        <v>12</v>
      </c>
      <c r="W180" s="229">
        <v>14</v>
      </c>
      <c r="AQ180" s="181" t="s">
        <v>2397</v>
      </c>
      <c r="AR180" s="181" t="s">
        <v>2398</v>
      </c>
      <c r="AS180" s="180">
        <v>3.8</v>
      </c>
      <c r="AT180" s="180" t="s">
        <v>2396</v>
      </c>
    </row>
    <row r="181" spans="14:46" x14ac:dyDescent="0.2">
      <c r="N181" s="357" t="s">
        <v>890</v>
      </c>
      <c r="O181" cm="1">
        <f t="array" ref="O181">INDEX(P181:T181, Dashboard!$D$29/5+1)</f>
        <v>0</v>
      </c>
      <c r="P181">
        <v>0</v>
      </c>
      <c r="Q181">
        <v>2</v>
      </c>
      <c r="R181">
        <v>4</v>
      </c>
      <c r="S181">
        <v>6</v>
      </c>
      <c r="T181" s="229">
        <v>8</v>
      </c>
      <c r="U181" s="229">
        <v>10</v>
      </c>
      <c r="V181" s="229">
        <v>12</v>
      </c>
      <c r="W181" s="229">
        <v>14</v>
      </c>
    </row>
    <row r="182" spans="14:46" x14ac:dyDescent="0.2">
      <c r="N182" s="357" t="s">
        <v>892</v>
      </c>
      <c r="O182" cm="1">
        <f t="array" ref="O182">INDEX(P182:T182, Dashboard!$D$29/5+1)</f>
        <v>0</v>
      </c>
      <c r="P182">
        <v>0</v>
      </c>
      <c r="Q182">
        <v>2</v>
      </c>
      <c r="R182">
        <v>4</v>
      </c>
      <c r="S182">
        <v>6</v>
      </c>
      <c r="T182" s="229">
        <v>8</v>
      </c>
      <c r="U182" s="229">
        <v>10</v>
      </c>
      <c r="V182" s="229">
        <v>12</v>
      </c>
      <c r="W182" s="229">
        <v>14</v>
      </c>
    </row>
    <row r="183" spans="14:46" x14ac:dyDescent="0.2">
      <c r="N183" s="357" t="s">
        <v>894</v>
      </c>
      <c r="O183" cm="1">
        <f t="array" ref="O183">INDEX(P183:T183, Dashboard!$D$29/5+1)</f>
        <v>0</v>
      </c>
      <c r="P183">
        <v>0</v>
      </c>
      <c r="Q183">
        <v>2</v>
      </c>
      <c r="R183">
        <v>4</v>
      </c>
      <c r="S183">
        <v>6</v>
      </c>
      <c r="T183" s="229">
        <v>8</v>
      </c>
      <c r="U183" s="229">
        <v>10</v>
      </c>
      <c r="V183" s="229">
        <v>12</v>
      </c>
      <c r="W183" s="229">
        <v>14</v>
      </c>
    </row>
    <row r="184" spans="14:46" x14ac:dyDescent="0.2">
      <c r="N184" s="357" t="s">
        <v>896</v>
      </c>
      <c r="O184" cm="1">
        <f t="array" ref="O184">INDEX(P184:T184, Dashboard!$D$29/5+1)</f>
        <v>0</v>
      </c>
      <c r="P184">
        <v>0</v>
      </c>
      <c r="Q184">
        <v>2</v>
      </c>
      <c r="R184">
        <v>4</v>
      </c>
      <c r="S184">
        <v>6</v>
      </c>
      <c r="T184" s="229">
        <v>8</v>
      </c>
      <c r="U184" s="229">
        <v>10</v>
      </c>
      <c r="V184" s="229">
        <v>12</v>
      </c>
      <c r="W184" s="229">
        <v>14</v>
      </c>
    </row>
    <row r="185" spans="14:46" x14ac:dyDescent="0.2">
      <c r="N185" s="357" t="s">
        <v>898</v>
      </c>
      <c r="O185" cm="1">
        <f t="array" ref="O185">INDEX(P185:T185, Dashboard!$D$29/5+1)</f>
        <v>0</v>
      </c>
      <c r="P185">
        <v>0</v>
      </c>
      <c r="Q185">
        <v>2</v>
      </c>
      <c r="R185">
        <v>4</v>
      </c>
      <c r="S185">
        <v>6</v>
      </c>
      <c r="T185" s="229">
        <v>8</v>
      </c>
      <c r="U185" s="229">
        <v>10</v>
      </c>
      <c r="V185" s="229">
        <v>12</v>
      </c>
      <c r="W185" s="229">
        <v>14</v>
      </c>
    </row>
    <row r="186" spans="14:46" x14ac:dyDescent="0.2">
      <c r="N186" s="357" t="s">
        <v>900</v>
      </c>
      <c r="O186" cm="1">
        <f t="array" ref="O186">INDEX(P186:T186, Dashboard!$D$29/5+1)</f>
        <v>0</v>
      </c>
      <c r="P186">
        <v>0</v>
      </c>
      <c r="Q186">
        <f t="shared" ref="Q186:W186" si="11">Q185*1.05</f>
        <v>2.1</v>
      </c>
      <c r="R186">
        <f t="shared" si="11"/>
        <v>4.2</v>
      </c>
      <c r="S186">
        <f t="shared" si="11"/>
        <v>6.3000000000000007</v>
      </c>
      <c r="T186" s="229">
        <f t="shared" si="11"/>
        <v>8.4</v>
      </c>
      <c r="U186" s="229">
        <f t="shared" si="11"/>
        <v>10.5</v>
      </c>
      <c r="V186" s="229">
        <f t="shared" si="11"/>
        <v>12.600000000000001</v>
      </c>
      <c r="W186" s="229">
        <f t="shared" si="11"/>
        <v>14.700000000000001</v>
      </c>
    </row>
    <row r="187" spans="14:46" x14ac:dyDescent="0.2">
      <c r="N187" s="228"/>
      <c r="T187" s="229"/>
      <c r="U187" s="229"/>
      <c r="V187" s="229"/>
      <c r="W187" s="229"/>
    </row>
    <row r="188" spans="14:46" x14ac:dyDescent="0.2">
      <c r="N188" s="228"/>
      <c r="T188" s="229"/>
      <c r="U188" s="229"/>
      <c r="V188" s="229"/>
      <c r="W188" s="229"/>
    </row>
    <row r="189" spans="14:46" x14ac:dyDescent="0.2">
      <c r="N189" s="584" t="s">
        <v>907</v>
      </c>
      <c r="O189" cm="1">
        <f t="array" ref="O189">INDEX(P189:T189, Dashboard!$D$29/5+1)</f>
        <v>0</v>
      </c>
      <c r="P189">
        <v>0</v>
      </c>
      <c r="Q189">
        <v>-0.23</v>
      </c>
      <c r="R189">
        <v>-0.38</v>
      </c>
      <c r="S189">
        <v>-0.48</v>
      </c>
      <c r="T189" s="229">
        <v>-0.55000000000000004</v>
      </c>
      <c r="U189" s="229">
        <v>-0.6</v>
      </c>
      <c r="V189">
        <v>-0.65</v>
      </c>
      <c r="W189" s="1184">
        <v>-0.68</v>
      </c>
      <c r="X189" s="8" t="s">
        <v>2399</v>
      </c>
    </row>
    <row r="190" spans="14:46" x14ac:dyDescent="0.2">
      <c r="N190" s="357" t="s">
        <v>913</v>
      </c>
      <c r="O190" cm="1">
        <f t="array" ref="O190">INDEX(P190:T190, Dashboard!$D$29/5+1)</f>
        <v>0</v>
      </c>
      <c r="P190">
        <v>0</v>
      </c>
      <c r="Q190">
        <v>1</v>
      </c>
      <c r="R190">
        <v>2</v>
      </c>
      <c r="S190">
        <v>3</v>
      </c>
      <c r="T190" s="229">
        <v>4</v>
      </c>
      <c r="U190" s="1184">
        <v>5</v>
      </c>
      <c r="V190">
        <v>6</v>
      </c>
      <c r="W190" s="1184">
        <v>7</v>
      </c>
    </row>
    <row r="191" spans="14:46" x14ac:dyDescent="0.2">
      <c r="N191" s="228"/>
      <c r="T191" s="229"/>
      <c r="U191" s="1184"/>
      <c r="W191" s="1184"/>
    </row>
    <row r="192" spans="14:46" ht="17" thickBot="1" x14ac:dyDescent="0.25">
      <c r="N192" s="1114" t="s">
        <v>928</v>
      </c>
      <c r="O192" s="40" cm="1">
        <f t="array" ref="O192">INDEX(P192:T192, Dashboard!$D$29/5+1)</f>
        <v>0</v>
      </c>
      <c r="P192" s="40">
        <v>0</v>
      </c>
      <c r="Q192" s="40">
        <f t="shared" ref="Q192:W192" si="12">40*Q141/100-9*Q141/100</f>
        <v>1.55</v>
      </c>
      <c r="R192" s="40">
        <f t="shared" si="12"/>
        <v>3.1</v>
      </c>
      <c r="S192" s="40">
        <f t="shared" si="12"/>
        <v>4.6500000000000004</v>
      </c>
      <c r="T192" s="40">
        <f t="shared" si="12"/>
        <v>6.2</v>
      </c>
      <c r="U192" s="241">
        <f t="shared" si="12"/>
        <v>7.75</v>
      </c>
      <c r="V192" s="241">
        <f t="shared" si="12"/>
        <v>9.3000000000000007</v>
      </c>
      <c r="W192" s="1183">
        <f t="shared" si="12"/>
        <v>10.85</v>
      </c>
    </row>
  </sheetData>
  <mergeCells count="9">
    <mergeCell ref="AQ164:AT164"/>
    <mergeCell ref="A132:B132"/>
    <mergeCell ref="O73:AG73"/>
    <mergeCell ref="AX91:AY91"/>
    <mergeCell ref="AV81:AW81"/>
    <mergeCell ref="AV91:AW91"/>
    <mergeCell ref="AP131:AU131"/>
    <mergeCell ref="F1:O3"/>
    <mergeCell ref="B74:I74"/>
  </mergeCells>
  <phoneticPr fontId="102"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42</xdr:col>
                    <xdr:colOff>876300</xdr:colOff>
                    <xdr:row>158</xdr:row>
                    <xdr:rowOff>0</xdr:rowOff>
                  </from>
                  <to>
                    <xdr:col>44</xdr:col>
                    <xdr:colOff>723900</xdr:colOff>
                    <xdr:row>160</xdr:row>
                    <xdr:rowOff>76200</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9912bfb-d2be-4841-9f14-9c5ccce55529">
      <UserInfo>
        <DisplayName>Ahmed, Shabbir</DisplayName>
        <AccountId>13</AccountId>
        <AccountType/>
      </UserInfo>
      <UserInfo>
        <DisplayName>Kubal, Joseph J.</DisplayName>
        <AccountId>12</AccountId>
        <AccountType/>
      </UserInfo>
    </SharedWithUsers>
    <lcf76f155ced4ddcb4097134ff3c332f xmlns="c97a3d3e-7150-440d-8f23-cf081312dac8">
      <Terms xmlns="http://schemas.microsoft.com/office/infopath/2007/PartnerControls"/>
    </lcf76f155ced4ddcb4097134ff3c332f>
    <TaxCatchAll xmlns="49912bfb-d2be-4841-9f14-9c5ccce5552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669E83953541A4382AAD8D9334C3613" ma:contentTypeVersion="11" ma:contentTypeDescription="Create a new document." ma:contentTypeScope="" ma:versionID="8fe4585cd9a3a6afd61bcca23730eef4">
  <xsd:schema xmlns:xsd="http://www.w3.org/2001/XMLSchema" xmlns:xs="http://www.w3.org/2001/XMLSchema" xmlns:p="http://schemas.microsoft.com/office/2006/metadata/properties" xmlns:ns2="c97a3d3e-7150-440d-8f23-cf081312dac8" xmlns:ns3="49912bfb-d2be-4841-9f14-9c5ccce55529" targetNamespace="http://schemas.microsoft.com/office/2006/metadata/properties" ma:root="true" ma:fieldsID="5ad0ce79823b309dc3b9e0c804b71223" ns2:_="" ns3:_="">
    <xsd:import namespace="c97a3d3e-7150-440d-8f23-cf081312dac8"/>
    <xsd:import namespace="49912bfb-d2be-4841-9f14-9c5ccce5552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7a3d3e-7150-440d-8f23-cf081312dac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2dc656b0-98d7-492e-824b-0841517da8f9"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9912bfb-d2be-4841-9f14-9c5ccce5552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4634eaa1-c192-428f-aa39-34eb4eb317a2}" ma:internalName="TaxCatchAll" ma:showField="CatchAllData" ma:web="49912bfb-d2be-4841-9f14-9c5ccce555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91CDE-1930-4782-8276-13FCA262A0E5}">
  <ds:schemaRefs>
    <ds:schemaRef ds:uri="http://schemas.microsoft.com/sharepoint/v3/contenttype/forms"/>
  </ds:schemaRefs>
</ds:datastoreItem>
</file>

<file path=customXml/itemProps2.xml><?xml version="1.0" encoding="utf-8"?>
<ds:datastoreItem xmlns:ds="http://schemas.openxmlformats.org/officeDocument/2006/customXml" ds:itemID="{0E570CFA-D40A-439F-B822-49A85E44E49B}">
  <ds:schemaRefs>
    <ds:schemaRef ds:uri="http://purl.org/dc/terms/"/>
    <ds:schemaRef ds:uri="c97a3d3e-7150-440d-8f23-cf081312dac8"/>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49912bfb-d2be-4841-9f14-9c5ccce55529"/>
    <ds:schemaRef ds:uri="http://www.w3.org/XML/1998/namespace"/>
    <ds:schemaRef ds:uri="http://purl.org/dc/dcmitype/"/>
  </ds:schemaRefs>
</ds:datastoreItem>
</file>

<file path=customXml/itemProps3.xml><?xml version="1.0" encoding="utf-8"?>
<ds:datastoreItem xmlns:ds="http://schemas.openxmlformats.org/officeDocument/2006/customXml" ds:itemID="{B764E0A4-071B-45D4-9A64-0D5410728F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7a3d3e-7150-440d-8f23-cf081312dac8"/>
    <ds:schemaRef ds:uri="49912bfb-d2be-4841-9f14-9c5ccce55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31</vt:i4>
      </vt:variant>
    </vt:vector>
  </HeadingPairs>
  <TitlesOfParts>
    <vt:vector size="49" baseType="lpstr">
      <vt:lpstr>About BatPaC</vt:lpstr>
      <vt:lpstr>Dashboard</vt:lpstr>
      <vt:lpstr>Summary of Results</vt:lpstr>
      <vt:lpstr>Chem</vt:lpstr>
      <vt:lpstr>Battery Design</vt:lpstr>
      <vt:lpstr>BMS</vt:lpstr>
      <vt:lpstr>Manufacturing Costs</vt:lpstr>
      <vt:lpstr>Cost Input</vt:lpstr>
      <vt:lpstr>Cost Breakdown</vt:lpstr>
      <vt:lpstr>Detailed Cost Breakdown</vt:lpstr>
      <vt:lpstr>Recycle</vt:lpstr>
      <vt:lpstr>Thermal</vt:lpstr>
      <vt:lpstr>USABC Data</vt:lpstr>
      <vt:lpstr>Tool-Generate Chem Couple</vt:lpstr>
      <vt:lpstr>Tool-CAM Cost</vt:lpstr>
      <vt:lpstr>Default Vehicle Configurations</vt:lpstr>
      <vt:lpstr>Vehicle Considerations</vt:lpstr>
      <vt:lpstr>Lists</vt:lpstr>
      <vt:lpstr>_ASI_10s</vt:lpstr>
      <vt:lpstr>_ASI_2s</vt:lpstr>
      <vt:lpstr>_chem_couples</vt:lpstr>
      <vt:lpstr>_chem_formulas</vt:lpstr>
      <vt:lpstr>_Conductivity_Al</vt:lpstr>
      <vt:lpstr>_Conductivity_Cu</vt:lpstr>
      <vt:lpstr>_DesiredOut</vt:lpstr>
      <vt:lpstr>_manufact_method</vt:lpstr>
      <vt:lpstr>_materials</vt:lpstr>
      <vt:lpstr>_OCV_array</vt:lpstr>
      <vt:lpstr>_SelectedVehicle</vt:lpstr>
      <vt:lpstr>_Sensitive</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'Detailed Cost Breakdown'!Print_Area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Chang,Wesley</cp:lastModifiedBy>
  <cp:revision/>
  <dcterms:created xsi:type="dcterms:W3CDTF">2007-05-30T17:44:54Z</dcterms:created>
  <dcterms:modified xsi:type="dcterms:W3CDTF">2024-04-27T17:50:18Z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