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27555" windowHeight="10785"/>
  </bookViews>
  <sheets>
    <sheet name="UAT v2" sheetId="4" r:id="rId1"/>
  </sheets>
  <calcPr calcId="145621"/>
</workbook>
</file>

<file path=xl/calcChain.xml><?xml version="1.0" encoding="utf-8"?>
<calcChain xmlns="http://schemas.openxmlformats.org/spreadsheetml/2006/main">
  <c r="B15" i="4" l="1"/>
  <c r="C15" i="4" s="1"/>
  <c r="G62" i="4"/>
  <c r="B12" i="4"/>
  <c r="C12" i="4" s="1"/>
  <c r="B13" i="4"/>
  <c r="B14" i="4"/>
  <c r="C14" i="4" s="1"/>
  <c r="B16" i="4"/>
  <c r="C16" i="4" s="1"/>
  <c r="B17" i="4"/>
  <c r="C17" i="4" s="1"/>
  <c r="B18" i="4"/>
  <c r="C18" i="4" s="1"/>
  <c r="B19" i="4"/>
  <c r="C19" i="4" s="1"/>
  <c r="B20" i="4"/>
  <c r="B21" i="4"/>
  <c r="C21" i="4" s="1"/>
  <c r="B22" i="4"/>
  <c r="C22" i="4" s="1"/>
  <c r="G39" i="4" s="1"/>
  <c r="B23" i="4"/>
  <c r="C23" i="4" s="1"/>
  <c r="B24" i="4"/>
  <c r="B25" i="4"/>
  <c r="C25" i="4" s="1"/>
  <c r="B26" i="4"/>
  <c r="B27" i="4"/>
  <c r="C27" i="4" s="1"/>
  <c r="G25" i="4" s="1"/>
  <c r="B28" i="4"/>
  <c r="B29" i="4"/>
  <c r="C29" i="4" s="1"/>
  <c r="B30" i="4"/>
  <c r="B31" i="4"/>
  <c r="C31" i="4" s="1"/>
  <c r="B32" i="4"/>
  <c r="C32" i="4" s="1"/>
  <c r="B33" i="4"/>
  <c r="C33" i="4" s="1"/>
  <c r="B34" i="4"/>
  <c r="C34" i="4" s="1"/>
  <c r="G42" i="4" s="1"/>
  <c r="B35" i="4"/>
  <c r="C35" i="4" s="1"/>
  <c r="G30" i="4" s="1"/>
  <c r="B36" i="4"/>
  <c r="C36" i="4" s="1"/>
  <c r="G44" i="4" s="1"/>
  <c r="B37" i="4"/>
  <c r="C37" i="4" s="1"/>
  <c r="G28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B11" i="4"/>
  <c r="C11" i="4" s="1"/>
  <c r="G13" i="4" s="1"/>
  <c r="G66" i="4" l="1"/>
  <c r="G69" i="4" s="1"/>
  <c r="G11" i="4"/>
  <c r="G29" i="4"/>
  <c r="G40" i="4"/>
  <c r="G41" i="4"/>
  <c r="G14" i="4"/>
  <c r="C13" i="4"/>
  <c r="D13" i="4" s="1"/>
  <c r="D41" i="4"/>
  <c r="D37" i="4"/>
  <c r="D33" i="4"/>
  <c r="D29" i="4"/>
  <c r="D25" i="4"/>
  <c r="D21" i="4"/>
  <c r="G65" i="4" s="1"/>
  <c r="G17" i="4" s="1"/>
  <c r="D17" i="4"/>
  <c r="D18" i="4"/>
  <c r="D22" i="4"/>
  <c r="C26" i="4"/>
  <c r="C30" i="4"/>
  <c r="D30" i="4" s="1"/>
  <c r="D34" i="4"/>
  <c r="D38" i="4"/>
  <c r="D42" i="4"/>
  <c r="D43" i="4"/>
  <c r="D39" i="4"/>
  <c r="D35" i="4"/>
  <c r="D31" i="4"/>
  <c r="D27" i="4"/>
  <c r="D23" i="4"/>
  <c r="D14" i="4"/>
  <c r="C20" i="4"/>
  <c r="G18" i="4" s="1"/>
  <c r="C24" i="4"/>
  <c r="G68" i="4" s="1"/>
  <c r="C28" i="4"/>
  <c r="D28" i="4" s="1"/>
  <c r="D32" i="4"/>
  <c r="D36" i="4"/>
  <c r="D40" i="4"/>
  <c r="C44" i="4"/>
  <c r="D44" i="4" s="1"/>
  <c r="D19" i="4"/>
  <c r="D16" i="4"/>
  <c r="G63" i="4" s="1"/>
  <c r="H63" i="4" s="1"/>
  <c r="G15" i="4" s="1"/>
  <c r="D12" i="4"/>
  <c r="D11" i="4"/>
  <c r="G12" i="4"/>
  <c r="D15" i="4"/>
  <c r="D26" i="4" l="1"/>
  <c r="G75" i="4"/>
  <c r="G76" i="4"/>
  <c r="G19" i="4"/>
  <c r="G72" i="4"/>
  <c r="G71" i="4"/>
  <c r="D24" i="4"/>
  <c r="G74" i="4"/>
  <c r="G70" i="4"/>
  <c r="G24" i="4"/>
  <c r="G86" i="4"/>
  <c r="G82" i="4"/>
  <c r="G78" i="4"/>
  <c r="G32" i="4"/>
  <c r="G38" i="4"/>
  <c r="G33" i="4"/>
  <c r="G36" i="4"/>
  <c r="G34" i="4"/>
  <c r="G37" i="4"/>
  <c r="G43" i="4"/>
  <c r="G46" i="4"/>
  <c r="G45" i="4"/>
  <c r="G89" i="4"/>
  <c r="G85" i="4"/>
  <c r="H85" i="4" s="1"/>
  <c r="G64" i="4"/>
  <c r="H64" i="4" s="1"/>
  <c r="G16" i="4" s="1"/>
  <c r="D20" i="4"/>
  <c r="G88" i="4" l="1"/>
  <c r="H88" i="4" s="1"/>
  <c r="H89" i="4"/>
  <c r="G23" i="4"/>
  <c r="G20" i="4"/>
  <c r="G81" i="4"/>
  <c r="G84" i="4"/>
  <c r="G87" i="4" l="1"/>
  <c r="H87" i="4" s="1"/>
  <c r="G21" i="4"/>
  <c r="G22" i="4"/>
  <c r="G80" i="4"/>
  <c r="H81" i="4"/>
  <c r="G83" i="4"/>
  <c r="H83" i="4" s="1"/>
  <c r="H84" i="4"/>
  <c r="H80" i="4" l="1"/>
  <c r="G27" i="4" s="1"/>
  <c r="G79" i="4"/>
  <c r="G26" i="4" s="1"/>
</calcChain>
</file>

<file path=xl/sharedStrings.xml><?xml version="1.0" encoding="utf-8"?>
<sst xmlns="http://schemas.openxmlformats.org/spreadsheetml/2006/main" count="238" uniqueCount="189">
  <si>
    <t>Address Qualifier</t>
  </si>
  <si>
    <t>Latitude</t>
  </si>
  <si>
    <t>Longitude</t>
  </si>
  <si>
    <t>Altitude</t>
  </si>
  <si>
    <t>Payload Type</t>
  </si>
  <si>
    <t>Address</t>
  </si>
  <si>
    <t>Alt Type</t>
  </si>
  <si>
    <t>NIC</t>
  </si>
  <si>
    <t>A/G State</t>
  </si>
  <si>
    <t>Res.</t>
  </si>
  <si>
    <t>Horizontal Velocity</t>
  </si>
  <si>
    <t>UTC</t>
  </si>
  <si>
    <t>Uplink Feedback</t>
  </si>
  <si>
    <t>Vertical Velocity or A/V Size</t>
  </si>
  <si>
    <t>Emitter category and Call Sign / Flight Plan ID (Characters #1 and #2)</t>
  </si>
  <si>
    <t>Call Sign / Flight Plan ID (Characters #3, #4, and #5)</t>
  </si>
  <si>
    <t>Call Sign / Flight Plan ID (Characters #6, #7, and #8)</t>
  </si>
  <si>
    <t>Emergency / Priority Status</t>
  </si>
  <si>
    <t>UAT Version</t>
  </si>
  <si>
    <t>SIL</t>
  </si>
  <si>
    <t>NACp</t>
  </si>
  <si>
    <t>NACv</t>
  </si>
  <si>
    <t>NICbaro</t>
  </si>
  <si>
    <t>Transmit MSO</t>
  </si>
  <si>
    <t>SDA</t>
  </si>
  <si>
    <t>Capability Codes</t>
  </si>
  <si>
    <t>Operational Modes</t>
  </si>
  <si>
    <t>CSID</t>
  </si>
  <si>
    <t>SILsupp</t>
  </si>
  <si>
    <t>Geo Vert Acc</t>
  </si>
  <si>
    <t>SA flag</t>
  </si>
  <si>
    <t>Reserved</t>
  </si>
  <si>
    <t>Secondary Altitude</t>
  </si>
  <si>
    <t>Byte#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</si>
  <si>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</si>
  <si>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</si>
  <si>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</si>
  <si>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</si>
  <si>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</si>
  <si>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</si>
  <si>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</si>
  <si>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</si>
  <si>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Byte</t>
  </si>
  <si>
    <t>Value</t>
  </si>
  <si>
    <t>Hex Value</t>
  </si>
  <si>
    <t>Binary</t>
  </si>
  <si>
    <t>Address qualifier</t>
  </si>
  <si>
    <t>ICAO address</t>
  </si>
  <si>
    <t>UAT v2 Traffic Message</t>
  </si>
  <si>
    <t>UAT v1 Traffic Message</t>
  </si>
  <si>
    <t>Emitter category and Call Sign (Characters #1 and #2)</t>
  </si>
  <si>
    <t>Call Sign (Characters #3, #4, and #5)</t>
  </si>
  <si>
    <t>Call Sign (Characters #6, #7, and #8)</t>
  </si>
  <si>
    <t>True/Mag</t>
  </si>
  <si>
    <t>08a6629f2eb62d63aed61c2a001e2c801809e5bba8e6c40678a08200001c60000000</t>
  </si>
  <si>
    <t>Decimal</t>
  </si>
  <si>
    <t>Latitude (raw)</t>
  </si>
  <si>
    <t>Latitude (degrees)</t>
  </si>
  <si>
    <t>Longitude (raw)</t>
  </si>
  <si>
    <t>Longitude (degrees)</t>
  </si>
  <si>
    <t>Altitude type</t>
  </si>
  <si>
    <t>Altitude (raw)</t>
  </si>
  <si>
    <t>Altitude (ft)</t>
  </si>
  <si>
    <t>UAT version</t>
  </si>
  <si>
    <t>SIL Supplement</t>
  </si>
  <si>
    <t>Geometric vert accuracy</t>
  </si>
  <si>
    <t>Emitter category</t>
  </si>
  <si>
    <t>Callsign 1</t>
  </si>
  <si>
    <t>Callsign 2</t>
  </si>
  <si>
    <t>Callsign 3</t>
  </si>
  <si>
    <t>Callsign 4</t>
  </si>
  <si>
    <t>Callsign 5</t>
  </si>
  <si>
    <t>Callsign 6</t>
  </si>
  <si>
    <t>Callsign 7</t>
  </si>
  <si>
    <t>Callsign 8</t>
  </si>
  <si>
    <t>Callsign Encoding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</si>
  <si>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</si>
  <si>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</si>
  <si>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</si>
  <si>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</si>
  <si>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</si>
  <si>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</si>
  <si>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</si>
  <si>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</si>
  <si>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</si>
  <si>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</si>
  <si>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</si>
  <si>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</si>
  <si>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</si>
  <si>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</si>
  <si>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</si>
  <si>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</si>
  <si>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</si>
  <si>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</si>
  <si>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</si>
  <si>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</si>
  <si>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</si>
  <si>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</si>
  <si>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</si>
  <si>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</si>
  <si>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</si>
  <si>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</si>
  <si>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</si>
  <si>
    <t>Group 1</t>
  </si>
  <si>
    <t>Group 2</t>
  </si>
  <si>
    <t>Group 3</t>
  </si>
  <si>
    <t xml:space="preserve"> Emitter</t>
  </si>
  <si>
    <t>Emitter Category</t>
  </si>
  <si>
    <t>Light (&lt;15500 lb)</t>
  </si>
  <si>
    <t>Small (15500 to 75000 lb)</t>
  </si>
  <si>
    <t>Large (75000 to 300000 lb)</t>
  </si>
  <si>
    <t>High Vortex Large (B757)</t>
  </si>
  <si>
    <t>Heavy (&gt;300000 lb)</t>
  </si>
  <si>
    <t>Highly Manueverable</t>
  </si>
  <si>
    <t>Rotorcraft</t>
  </si>
  <si>
    <t>Glider / sailplane</t>
  </si>
  <si>
    <t>Lighter than air</t>
  </si>
  <si>
    <t>Parachutist</t>
  </si>
  <si>
    <t>Ultralight / hang glider</t>
  </si>
  <si>
    <t>UAV</t>
  </si>
  <si>
    <t>Space vehicle</t>
  </si>
  <si>
    <t>Surface emergency vehicle</t>
  </si>
  <si>
    <t>Surface service vehicle</t>
  </si>
  <si>
    <t>Point obstacle</t>
  </si>
  <si>
    <t>Cluster obstacle</t>
  </si>
  <si>
    <t>Line obstacle</t>
  </si>
  <si>
    <t>No information</t>
  </si>
  <si>
    <t>Callsign / Flight ID</t>
  </si>
  <si>
    <t>Message length</t>
  </si>
  <si>
    <t>Emergency Status</t>
  </si>
  <si>
    <t>None</t>
  </si>
  <si>
    <t>General emergency</t>
  </si>
  <si>
    <t>Lifeguard / medical emergency</t>
  </si>
  <si>
    <t>Minimum fuel</t>
  </si>
  <si>
    <t>No communications</t>
  </si>
  <si>
    <t>Unlawful interference</t>
  </si>
  <si>
    <t>Downed aircraft</t>
  </si>
  <si>
    <t>Capability codes</t>
  </si>
  <si>
    <t>UAT In</t>
  </si>
  <si>
    <t>1090ES In</t>
  </si>
  <si>
    <t>TCAS/ACAS operational</t>
  </si>
  <si>
    <t>Operational modes</t>
  </si>
  <si>
    <t>TCAS/ACAS resolution active</t>
  </si>
  <si>
    <t>IDENT active</t>
  </si>
  <si>
    <t>[Reserved] Receiving ATC services</t>
  </si>
  <si>
    <t>Air / Ground state [raw]</t>
  </si>
  <si>
    <t>Callsign decoding</t>
  </si>
  <si>
    <t>Air/Ground state</t>
  </si>
  <si>
    <t>Air/Ground State</t>
  </si>
  <si>
    <t>UTC sync</t>
  </si>
  <si>
    <t>Results</t>
  </si>
  <si>
    <t>Calculations and lookup tables - do not modify or move any equations within the double lines</t>
  </si>
  <si>
    <t>UAT v2 ADS-B message decoder</t>
  </si>
  <si>
    <t>Version 1.0</t>
  </si>
  <si>
    <t>© 2017 Keith Tschohl (@AvSquirrel)</t>
  </si>
  <si>
    <t>Enter UAT v1 or v2 downlink message in the box below.</t>
  </si>
  <si>
    <t>N-S velocity magnitude / GS [raw]</t>
  </si>
  <si>
    <t>N-S velocity direction</t>
  </si>
  <si>
    <t>East velocity</t>
  </si>
  <si>
    <t>Gnd heading</t>
  </si>
  <si>
    <t>TA/H type</t>
  </si>
  <si>
    <t>VV sign</t>
  </si>
  <si>
    <t>VV [raw]</t>
  </si>
  <si>
    <t>This work is licensed under a Creative Commons Attribution 4.0 International License (CC BY 4.0).</t>
  </si>
  <si>
    <t>North-south velocity (knots)</t>
  </si>
  <si>
    <t>East-west velocity (knots)</t>
  </si>
  <si>
    <t>Raw calculated track</t>
  </si>
  <si>
    <t>E-W velocity direction and multiplier</t>
  </si>
  <si>
    <t>Vertical velocity (FPM)</t>
  </si>
  <si>
    <t>Track (deg) [calculated]</t>
  </si>
  <si>
    <t>Ground speed (knots) [calculated]</t>
  </si>
  <si>
    <t>08a1b87940154f7b45ee070911a40fa04809da0a3de6c40b4ea4c2a00006d0000000</t>
  </si>
  <si>
    <t>08a4ada13f98b97b9638083901884100180caa0025ed2d0bc6a4c0a00007e0000000</t>
  </si>
  <si>
    <t/>
  </si>
  <si>
    <t>08a0678c3fde477aa89e099900763d603809d90d614a840b3aa5c2a00008d0000000</t>
  </si>
  <si>
    <t>08a0678c3fde857aa72e0999007e3d603f066a0025ed2d0b4aa5c0a00008d0000000</t>
  </si>
  <si>
    <t>08a688404064e97b64340a39022835202f09dd1113e6c40b32a4c2a0000930000000</t>
  </si>
  <si>
    <t>08a510ab3fc67f7b146606a910a83da02806e5135ded2d0be6a4c0a00006e0000000</t>
  </si>
  <si>
    <t>08a510ab3fc6297b15d8069910a03da02f09dc0d4837c40bdaa4c2a00006d0000000</t>
  </si>
  <si>
    <t>Samples</t>
  </si>
  <si>
    <t>N42508 (Callsign)</t>
  </si>
  <si>
    <t>N42508 (Squawk)</t>
  </si>
  <si>
    <t>NDU10 (v1 emitter)</t>
  </si>
  <si>
    <t>0b2a808b4173957a2ffa0fd611d816c01105c4e6c4e6c40a82720300000000000000</t>
  </si>
  <si>
    <t>TIS-B (no identifier)</t>
  </si>
  <si>
    <t>0aa3f865406bf77ca3500528106214c09f2f5b201d89040b829582a00005c0000000</t>
  </si>
  <si>
    <t>0aa3a6553f7de77bc296072001aa0a40df09db137d444408c891c2a0000790000000</t>
  </si>
  <si>
    <t>ADS-R (N344TA)</t>
  </si>
  <si>
    <t>ADS-R (Rotorcraft N355LL)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</si>
</sst>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66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0" borderId="13" xfId="0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3" xfId="0" applyFill="1" applyBorder="1"/>
    <xf numFmtId="0" fontId="0" fillId="6" borderId="15" xfId="0" applyFill="1" applyBorder="1" applyAlignment="1">
      <alignment horizontal="center"/>
    </xf>
    <xf numFmtId="0" fontId="0" fillId="7" borderId="13" xfId="0" applyFill="1" applyBorder="1"/>
    <xf numFmtId="0" fontId="0" fillId="10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11" borderId="1" xfId="0" applyFill="1" applyBorder="1"/>
    <xf numFmtId="0" fontId="0" fillId="6" borderId="4" xfId="0" applyFill="1" applyBorder="1" applyAlignment="1"/>
    <xf numFmtId="0" fontId="0" fillId="5" borderId="13" xfId="0" applyFill="1" applyBorder="1"/>
    <xf numFmtId="0" fontId="0" fillId="0" borderId="0" xfId="0" applyNumberFormat="1" applyAlignment="1">
      <alignment horizontal="center"/>
    </xf>
    <xf numFmtId="0" fontId="0" fillId="0" borderId="14" xfId="0" applyFill="1" applyBorder="1"/>
    <xf numFmtId="49" fontId="0" fillId="0" borderId="0" xfId="0" applyNumberFormat="1"/>
    <xf numFmtId="164" fontId="1" fillId="7" borderId="1" xfId="0" applyNumberFormat="1" applyFont="1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0" borderId="14" xfId="0" applyFill="1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" xfId="0" applyFill="1" applyBorder="1" applyAlignment="1">
      <alignment horizontal="left"/>
    </xf>
    <xf numFmtId="0" fontId="0" fillId="9" borderId="0" xfId="0" applyFill="1"/>
    <xf numFmtId="0" fontId="0" fillId="9" borderId="1" xfId="0" applyFill="1" applyBorder="1" applyAlignment="1">
      <alignment horizontal="right"/>
    </xf>
    <xf numFmtId="1" fontId="0" fillId="9" borderId="15" xfId="0" applyNumberFormat="1" applyFill="1" applyBorder="1" applyAlignment="1">
      <alignment horizontal="right"/>
    </xf>
    <xf numFmtId="0" fontId="0" fillId="0" borderId="7" xfId="0" applyBorder="1"/>
    <xf numFmtId="0" fontId="0" fillId="9" borderId="9" xfId="0" applyFill="1" applyBorder="1" applyAlignment="1">
      <alignment horizontal="right"/>
    </xf>
    <xf numFmtId="0" fontId="0" fillId="0" borderId="15" xfId="0" applyFill="1" applyBorder="1" applyAlignment="1">
      <alignment horizontal="left" indent="1"/>
    </xf>
    <xf numFmtId="0" fontId="0" fillId="9" borderId="14" xfId="0" applyFill="1" applyBorder="1" applyAlignment="1">
      <alignment horizontal="right"/>
    </xf>
    <xf numFmtId="0" fontId="0" fillId="0" borderId="14" xfId="0" applyFont="1" applyFill="1" applyBorder="1"/>
    <xf numFmtId="0" fontId="0" fillId="0" borderId="1" xfId="0" applyFont="1" applyFill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/>
    <xf numFmtId="1" fontId="0" fillId="3" borderId="17" xfId="0" applyNumberFormat="1" applyFill="1" applyBorder="1"/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0" xfId="0" applyFill="1" applyBorder="1"/>
    <xf numFmtId="1" fontId="0" fillId="3" borderId="0" xfId="0" applyNumberFormat="1" applyFill="1" applyBorder="1"/>
    <xf numFmtId="0" fontId="0" fillId="3" borderId="20" xfId="0" applyFill="1" applyBorder="1"/>
    <xf numFmtId="0" fontId="4" fillId="3" borderId="1" xfId="0" applyFont="1" applyFill="1" applyBorder="1"/>
    <xf numFmtId="1" fontId="4" fillId="3" borderId="1" xfId="0" applyNumberFormat="1" applyFont="1" applyFill="1" applyBorder="1"/>
    <xf numFmtId="49" fontId="0" fillId="3" borderId="1" xfId="0" applyNumberFormat="1" applyFill="1" applyBorder="1" applyAlignment="1">
      <alignment horizontal="right"/>
    </xf>
    <xf numFmtId="1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indent="1"/>
    </xf>
    <xf numFmtId="0" fontId="0" fillId="3" borderId="1" xfId="0" applyNumberForma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/>
    <xf numFmtId="0" fontId="0" fillId="3" borderId="23" xfId="0" applyFill="1" applyBorder="1"/>
    <xf numFmtId="0" fontId="8" fillId="3" borderId="19" xfId="0" applyFont="1" applyFill="1" applyBorder="1"/>
    <xf numFmtId="0" fontId="8" fillId="3" borderId="0" xfId="0" applyFont="1" applyFill="1" applyBorder="1"/>
    <xf numFmtId="1" fontId="8" fillId="3" borderId="19" xfId="0" applyNumberFormat="1" applyFont="1" applyFill="1" applyBorder="1"/>
    <xf numFmtId="0" fontId="2" fillId="0" borderId="0" xfId="1"/>
    <xf numFmtId="0" fontId="7" fillId="0" borderId="0" xfId="0" applyFont="1"/>
    <xf numFmtId="0" fontId="3" fillId="0" borderId="0" xfId="0" applyFont="1"/>
    <xf numFmtId="15" fontId="3" fillId="0" borderId="0" xfId="0" applyNumberFormat="1" applyFont="1"/>
    <xf numFmtId="0" fontId="0" fillId="3" borderId="14" xfId="0" applyFill="1" applyBorder="1"/>
    <xf numFmtId="0" fontId="4" fillId="0" borderId="1" xfId="0" applyFont="1" applyFill="1" applyBorder="1"/>
    <xf numFmtId="165" fontId="0" fillId="6" borderId="1" xfId="0" applyNumberFormat="1" applyFill="1" applyBorder="1"/>
    <xf numFmtId="0" fontId="8" fillId="3" borderId="0" xfId="0" quotePrefix="1" applyFont="1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reativecommons.org/licenses/by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tabSelected="1" zoomScaleNormal="100" workbookViewId="0">
      <selection activeCell="A8" sqref="A8:G8"/>
    </sheetView>
  </sheetViews>
  <sheetFormatPr defaultRowHeight="15" x14ac:dyDescent="0.25"/>
  <cols>
    <col min="1" max="1" width="10" bestFit="1" customWidth="1"/>
    <col min="2" max="2" width="11.140625" customWidth="1"/>
    <col min="3" max="3" width="17" customWidth="1"/>
    <col min="4" max="5" width="11.28515625" style="14" customWidth="1"/>
    <col min="6" max="6" width="36" bestFit="1" customWidth="1"/>
    <col min="7" max="7" width="29.85546875" customWidth="1"/>
    <col min="8" max="8" width="11.42578125" customWidth="1"/>
    <col min="32" max="32" width="17.5703125" bestFit="1" customWidth="1"/>
    <col min="33" max="33" width="27.140625" customWidth="1"/>
    <col min="34" max="34" width="29.42578125" customWidth="1"/>
  </cols>
  <sheetData>
    <row r="1" spans="1:35" ht="21" x14ac:dyDescent="0.35">
      <c r="A1" s="40" t="s">
        <v>152</v>
      </c>
    </row>
    <row r="2" spans="1:35" ht="15.75" x14ac:dyDescent="0.25">
      <c r="A2" s="65" t="s">
        <v>153</v>
      </c>
    </row>
    <row r="3" spans="1:35" ht="15.75" x14ac:dyDescent="0.25">
      <c r="A3" s="66">
        <v>42762</v>
      </c>
    </row>
    <row r="4" spans="1:35" x14ac:dyDescent="0.25">
      <c r="A4" s="64" t="s">
        <v>154</v>
      </c>
    </row>
    <row r="5" spans="1:35" x14ac:dyDescent="0.25">
      <c r="A5" s="63" t="s">
        <v>163</v>
      </c>
    </row>
    <row r="7" spans="1:35" x14ac:dyDescent="0.25">
      <c r="A7" t="s">
        <v>155</v>
      </c>
    </row>
    <row r="8" spans="1:35" ht="38.25" customHeight="1" x14ac:dyDescent="0.35">
      <c r="A8" s="135" t="s">
        <v>176</v>
      </c>
      <c r="B8" s="135"/>
      <c r="C8" s="135"/>
      <c r="D8" s="135"/>
      <c r="E8" s="135"/>
      <c r="F8" s="135"/>
      <c r="G8" s="135"/>
      <c r="K8" t="s">
        <v>48</v>
      </c>
      <c r="U8" t="s">
        <v>49</v>
      </c>
    </row>
    <row r="9" spans="1:35" x14ac:dyDescent="0.25">
      <c r="AI9" t="s">
        <v>148</v>
      </c>
    </row>
    <row r="10" spans="1:35" ht="23.25" x14ac:dyDescent="0.35">
      <c r="A10" t="s">
        <v>42</v>
      </c>
      <c r="B10" t="s">
        <v>44</v>
      </c>
      <c r="C10" t="s">
        <v>45</v>
      </c>
      <c r="D10" s="14" t="s">
        <v>55</v>
      </c>
      <c r="F10" s="41" t="s">
        <v>150</v>
      </c>
      <c r="K10" s="15" t="s">
        <v>33</v>
      </c>
      <c r="L10" s="15" t="s">
        <v>34</v>
      </c>
      <c r="M10" s="15" t="s">
        <v>35</v>
      </c>
      <c r="N10" s="15" t="s">
        <v>36</v>
      </c>
      <c r="O10" s="15" t="s">
        <v>37</v>
      </c>
      <c r="P10" s="15" t="s">
        <v>38</v>
      </c>
      <c r="Q10" s="15" t="s">
        <v>39</v>
      </c>
      <c r="R10" s="15" t="s">
        <v>40</v>
      </c>
      <c r="S10" s="15" t="s">
        <v>41</v>
      </c>
      <c r="U10" s="15" t="s">
        <v>33</v>
      </c>
      <c r="V10" s="15" t="s">
        <v>34</v>
      </c>
      <c r="W10" s="15" t="s">
        <v>35</v>
      </c>
      <c r="X10" s="15" t="s">
        <v>36</v>
      </c>
      <c r="Y10" s="15" t="s">
        <v>37</v>
      </c>
      <c r="Z10" s="15" t="s">
        <v>38</v>
      </c>
      <c r="AA10" s="15" t="s">
        <v>39</v>
      </c>
      <c r="AB10" s="15" t="s">
        <v>40</v>
      </c>
      <c r="AC10" s="15" t="s">
        <v>41</v>
      </c>
    </row>
    <row r="11" spans="1:35" x14ac:dyDescent="0.25">
      <c r="A11">
        <v>1</v>
      </c>
      <c r="B11" t="str">
        <f>MID($A$8,(A11*2-1),2)</f>
        <v>08</v>
      </c>
      <c r="C11" s="21" t="str">
        <f>HEX2BIN(B11,8)</f>
        <v>00001000</v>
      </c>
      <c r="D11" s="19">
        <f>BIN2DEC(C11)</f>
        <v>8</v>
      </c>
      <c r="E11" s="19"/>
      <c r="F11" s="1" t="s">
        <v>63</v>
      </c>
      <c r="G11" s="12">
        <f>BIN2DEC(MID(C34,4,3))</f>
        <v>2</v>
      </c>
      <c r="K11" s="15">
        <v>1</v>
      </c>
      <c r="L11" s="79" t="s">
        <v>4</v>
      </c>
      <c r="M11" s="80"/>
      <c r="N11" s="80"/>
      <c r="O11" s="80"/>
      <c r="P11" s="81"/>
      <c r="Q11" s="79" t="s">
        <v>0</v>
      </c>
      <c r="R11" s="80"/>
      <c r="S11" s="81"/>
      <c r="U11" s="15">
        <v>1</v>
      </c>
      <c r="V11" s="79" t="s">
        <v>4</v>
      </c>
      <c r="W11" s="80"/>
      <c r="X11" s="80"/>
      <c r="Y11" s="80"/>
      <c r="Z11" s="81"/>
      <c r="AA11" s="79" t="s">
        <v>0</v>
      </c>
      <c r="AB11" s="80"/>
      <c r="AC11" s="81"/>
    </row>
    <row r="12" spans="1:35" x14ac:dyDescent="0.25">
      <c r="A12">
        <v>2</v>
      </c>
      <c r="B12" t="str">
        <f t="shared" ref="B12:B44" si="0">MID($A$8,(A12*2-1),2)</f>
        <v>a6</v>
      </c>
      <c r="C12" s="21" t="str">
        <f t="shared" ref="C12:C44" si="1">HEX2BIN(B12,8)</f>
        <v>10100110</v>
      </c>
      <c r="D12" s="19">
        <f t="shared" ref="D12:D44" si="2">BIN2DEC(C12)</f>
        <v>166</v>
      </c>
      <c r="E12" s="19"/>
      <c r="F12" s="1" t="s">
        <v>4</v>
      </c>
      <c r="G12" s="16">
        <f>BIN2DEC(LEFT(C11,5))</f>
        <v>1</v>
      </c>
      <c r="K12" s="15">
        <v>2</v>
      </c>
      <c r="L12" s="82" t="s">
        <v>5</v>
      </c>
      <c r="M12" s="83"/>
      <c r="N12" s="83"/>
      <c r="O12" s="83"/>
      <c r="P12" s="83"/>
      <c r="Q12" s="83"/>
      <c r="R12" s="83"/>
      <c r="S12" s="84"/>
      <c r="U12" s="15">
        <v>2</v>
      </c>
      <c r="V12" s="82" t="s">
        <v>5</v>
      </c>
      <c r="W12" s="83"/>
      <c r="X12" s="83"/>
      <c r="Y12" s="83"/>
      <c r="Z12" s="83"/>
      <c r="AA12" s="83"/>
      <c r="AB12" s="83"/>
      <c r="AC12" s="84"/>
    </row>
    <row r="13" spans="1:35" x14ac:dyDescent="0.25">
      <c r="A13">
        <v>3</v>
      </c>
      <c r="B13" t="str">
        <f t="shared" si="0"/>
        <v>88</v>
      </c>
      <c r="C13" s="21" t="str">
        <f t="shared" si="1"/>
        <v>10001000</v>
      </c>
      <c r="D13" s="19">
        <f t="shared" si="2"/>
        <v>136</v>
      </c>
      <c r="E13" s="19"/>
      <c r="F13" s="1" t="s">
        <v>46</v>
      </c>
      <c r="G13" s="16">
        <f>BIN2DEC(RIGHT(C11,3))</f>
        <v>0</v>
      </c>
      <c r="K13" s="15">
        <v>3</v>
      </c>
      <c r="L13" s="85"/>
      <c r="M13" s="86"/>
      <c r="N13" s="86"/>
      <c r="O13" s="86"/>
      <c r="P13" s="86"/>
      <c r="Q13" s="86"/>
      <c r="R13" s="86"/>
      <c r="S13" s="87"/>
      <c r="U13" s="15">
        <v>3</v>
      </c>
      <c r="V13" s="85"/>
      <c r="W13" s="86"/>
      <c r="X13" s="86"/>
      <c r="Y13" s="86"/>
      <c r="Z13" s="86"/>
      <c r="AA13" s="86"/>
      <c r="AB13" s="86"/>
      <c r="AC13" s="87"/>
    </row>
    <row r="14" spans="1:35" x14ac:dyDescent="0.25">
      <c r="A14">
        <v>4</v>
      </c>
      <c r="B14" t="str">
        <f t="shared" si="0"/>
        <v>40</v>
      </c>
      <c r="C14" s="21" t="str">
        <f t="shared" si="1"/>
        <v>01000000</v>
      </c>
      <c r="D14" s="19">
        <f t="shared" si="2"/>
        <v>64</v>
      </c>
      <c r="E14" s="19"/>
      <c r="F14" s="1" t="s">
        <v>47</v>
      </c>
      <c r="G14" s="24" t="str">
        <f>UPPER(CONCATENATE(B12,B13,B14))</f>
        <v>A68840</v>
      </c>
      <c r="K14" s="15">
        <v>4</v>
      </c>
      <c r="L14" s="88"/>
      <c r="M14" s="89"/>
      <c r="N14" s="89"/>
      <c r="O14" s="89"/>
      <c r="P14" s="89"/>
      <c r="Q14" s="89"/>
      <c r="R14" s="89"/>
      <c r="S14" s="90"/>
      <c r="U14" s="15">
        <v>4</v>
      </c>
      <c r="V14" s="88"/>
      <c r="W14" s="89"/>
      <c r="X14" s="89"/>
      <c r="Y14" s="89"/>
      <c r="Z14" s="89"/>
      <c r="AA14" s="89"/>
      <c r="AB14" s="89"/>
      <c r="AC14" s="90"/>
    </row>
    <row r="15" spans="1:35" x14ac:dyDescent="0.25">
      <c r="A15">
        <v>5</v>
      </c>
      <c r="B15" t="str">
        <f t="shared" si="0"/>
        <v>40</v>
      </c>
      <c r="C15" s="21" t="str">
        <f t="shared" si="1"/>
        <v>01000000</v>
      </c>
      <c r="D15" s="19">
        <f t="shared" si="2"/>
        <v>64</v>
      </c>
      <c r="E15" s="19"/>
      <c r="F15" s="1" t="s">
        <v>57</v>
      </c>
      <c r="G15" s="22">
        <f>360/POWER(2,24)*H63</f>
        <v>45.27714729309082</v>
      </c>
      <c r="K15" s="15">
        <v>5</v>
      </c>
      <c r="L15" s="74" t="s">
        <v>1</v>
      </c>
      <c r="M15" s="75"/>
      <c r="N15" s="75"/>
      <c r="O15" s="75"/>
      <c r="P15" s="75"/>
      <c r="Q15" s="75"/>
      <c r="R15" s="75"/>
      <c r="S15" s="77"/>
      <c r="U15" s="15">
        <v>5</v>
      </c>
      <c r="V15" s="74" t="s">
        <v>1</v>
      </c>
      <c r="W15" s="75"/>
      <c r="X15" s="75"/>
      <c r="Y15" s="75"/>
      <c r="Z15" s="75"/>
      <c r="AA15" s="75"/>
      <c r="AB15" s="75"/>
      <c r="AC15" s="77"/>
    </row>
    <row r="16" spans="1:35" x14ac:dyDescent="0.25">
      <c r="A16">
        <v>6</v>
      </c>
      <c r="B16" t="str">
        <f t="shared" si="0"/>
        <v>64</v>
      </c>
      <c r="C16" s="21" t="str">
        <f t="shared" si="1"/>
        <v>01100100</v>
      </c>
      <c r="D16" s="19">
        <f t="shared" si="2"/>
        <v>100</v>
      </c>
      <c r="E16" s="19"/>
      <c r="F16" s="1" t="s">
        <v>59</v>
      </c>
      <c r="G16" s="22">
        <f>H64*360/POWER(2,24)</f>
        <v>-93.240408897399902</v>
      </c>
      <c r="K16" s="15">
        <v>6</v>
      </c>
      <c r="L16" s="126"/>
      <c r="M16" s="76"/>
      <c r="N16" s="76"/>
      <c r="O16" s="76"/>
      <c r="P16" s="76"/>
      <c r="Q16" s="76"/>
      <c r="R16" s="76"/>
      <c r="S16" s="78"/>
      <c r="U16" s="15">
        <v>6</v>
      </c>
      <c r="V16" s="126"/>
      <c r="W16" s="76"/>
      <c r="X16" s="76"/>
      <c r="Y16" s="76"/>
      <c r="Z16" s="76"/>
      <c r="AA16" s="76"/>
      <c r="AB16" s="76"/>
      <c r="AC16" s="78"/>
    </row>
    <row r="17" spans="1:29" x14ac:dyDescent="0.25">
      <c r="A17">
        <v>7</v>
      </c>
      <c r="B17" t="str">
        <f t="shared" si="0"/>
        <v>e9</v>
      </c>
      <c r="C17" s="21" t="str">
        <f t="shared" si="1"/>
        <v>11101001</v>
      </c>
      <c r="D17" s="19">
        <f t="shared" si="2"/>
        <v>233</v>
      </c>
      <c r="E17" s="19"/>
      <c r="F17" s="1" t="s">
        <v>62</v>
      </c>
      <c r="G17" s="6">
        <f>IF(G65=0,"Invalid",(G65-1)*25-1000)</f>
        <v>3050</v>
      </c>
      <c r="K17" s="15">
        <v>7</v>
      </c>
      <c r="L17" s="71"/>
      <c r="M17" s="72"/>
      <c r="N17" s="72"/>
      <c r="O17" s="72"/>
      <c r="P17" s="72"/>
      <c r="Q17" s="72"/>
      <c r="R17" s="73"/>
      <c r="S17" s="10"/>
      <c r="U17" s="15">
        <v>7</v>
      </c>
      <c r="V17" s="71"/>
      <c r="W17" s="72"/>
      <c r="X17" s="72"/>
      <c r="Y17" s="72"/>
      <c r="Z17" s="72"/>
      <c r="AA17" s="72"/>
      <c r="AB17" s="73"/>
      <c r="AC17" s="10"/>
    </row>
    <row r="18" spans="1:29" x14ac:dyDescent="0.25">
      <c r="A18">
        <v>8</v>
      </c>
      <c r="B18" t="str">
        <f t="shared" si="0"/>
        <v>7b</v>
      </c>
      <c r="C18" s="21" t="str">
        <f t="shared" si="1"/>
        <v>01111011</v>
      </c>
      <c r="D18" s="19">
        <f t="shared" si="2"/>
        <v>123</v>
      </c>
      <c r="E18" s="19"/>
      <c r="F18" s="1" t="s">
        <v>60</v>
      </c>
      <c r="G18" s="23" t="str">
        <f>IF(RIGHT(C20,1)="1","Geometric","Pressure")</f>
        <v>Pressure</v>
      </c>
      <c r="K18" s="15">
        <v>8</v>
      </c>
      <c r="L18" s="74" t="s">
        <v>2</v>
      </c>
      <c r="M18" s="75"/>
      <c r="N18" s="75"/>
      <c r="O18" s="75"/>
      <c r="P18" s="75"/>
      <c r="Q18" s="75"/>
      <c r="R18" s="75"/>
      <c r="S18" s="78"/>
      <c r="U18" s="15">
        <v>8</v>
      </c>
      <c r="V18" s="74" t="s">
        <v>2</v>
      </c>
      <c r="W18" s="75"/>
      <c r="X18" s="75"/>
      <c r="Y18" s="75"/>
      <c r="Z18" s="75"/>
      <c r="AA18" s="75"/>
      <c r="AB18" s="75"/>
      <c r="AC18" s="78"/>
    </row>
    <row r="19" spans="1:29" x14ac:dyDescent="0.25">
      <c r="A19">
        <v>9</v>
      </c>
      <c r="B19" t="str">
        <f t="shared" si="0"/>
        <v>64</v>
      </c>
      <c r="C19" s="21" t="str">
        <f t="shared" si="1"/>
        <v>01100100</v>
      </c>
      <c r="D19" s="19">
        <f t="shared" si="2"/>
        <v>100</v>
      </c>
      <c r="E19" s="19"/>
      <c r="F19" s="37" t="s">
        <v>164</v>
      </c>
      <c r="G19" s="5">
        <f>IF(G66=2,"On ground",IF(G68=0,"N/A",(G68-1)*G69))</f>
        <v>137</v>
      </c>
      <c r="K19" s="15">
        <v>9</v>
      </c>
      <c r="L19" s="126"/>
      <c r="M19" s="76"/>
      <c r="N19" s="76"/>
      <c r="O19" s="76"/>
      <c r="P19" s="76"/>
      <c r="Q19" s="76"/>
      <c r="R19" s="76"/>
      <c r="S19" s="78"/>
      <c r="U19" s="15">
        <v>9</v>
      </c>
      <c r="V19" s="126"/>
      <c r="W19" s="76"/>
      <c r="X19" s="76"/>
      <c r="Y19" s="76"/>
      <c r="Z19" s="76"/>
      <c r="AA19" s="76"/>
      <c r="AB19" s="76"/>
      <c r="AC19" s="78"/>
    </row>
    <row r="20" spans="1:29" x14ac:dyDescent="0.25">
      <c r="A20">
        <v>10</v>
      </c>
      <c r="B20" t="str">
        <f t="shared" si="0"/>
        <v>34</v>
      </c>
      <c r="C20" s="21" t="str">
        <f t="shared" si="1"/>
        <v>00110100</v>
      </c>
      <c r="D20" s="19">
        <f t="shared" si="2"/>
        <v>52</v>
      </c>
      <c r="E20" s="19"/>
      <c r="F20" s="37" t="s">
        <v>165</v>
      </c>
      <c r="G20" s="5">
        <f>IF(G66=2,"On ground",IF(G70=0,"N/A",(G70-1)*G71))</f>
        <v>105</v>
      </c>
      <c r="K20" s="15">
        <v>10</v>
      </c>
      <c r="L20" s="71"/>
      <c r="M20" s="72"/>
      <c r="N20" s="72"/>
      <c r="O20" s="72"/>
      <c r="P20" s="72"/>
      <c r="Q20" s="72"/>
      <c r="R20" s="73"/>
      <c r="S20" s="6" t="s">
        <v>6</v>
      </c>
      <c r="U20" s="15">
        <v>10</v>
      </c>
      <c r="V20" s="71"/>
      <c r="W20" s="72"/>
      <c r="X20" s="72"/>
      <c r="Y20" s="72"/>
      <c r="Z20" s="72"/>
      <c r="AA20" s="72"/>
      <c r="AB20" s="73"/>
      <c r="AC20" s="6" t="s">
        <v>6</v>
      </c>
    </row>
    <row r="21" spans="1:29" x14ac:dyDescent="0.25">
      <c r="A21">
        <v>11</v>
      </c>
      <c r="B21" t="str">
        <f t="shared" si="0"/>
        <v>0a</v>
      </c>
      <c r="C21" s="21" t="str">
        <f t="shared" si="1"/>
        <v>00001010</v>
      </c>
      <c r="D21" s="19">
        <f t="shared" si="2"/>
        <v>10</v>
      </c>
      <c r="E21" s="19"/>
      <c r="F21" s="68" t="s">
        <v>170</v>
      </c>
      <c r="G21" s="69">
        <f>IF(G66=2,IF(G68=0,"N/A",G68-1),SQRT(SUMSQ(G19,G20)))</f>
        <v>172.60938560808333</v>
      </c>
      <c r="K21" s="15">
        <v>11</v>
      </c>
      <c r="L21" s="74" t="s">
        <v>3</v>
      </c>
      <c r="M21" s="75"/>
      <c r="N21" s="75"/>
      <c r="O21" s="75"/>
      <c r="P21" s="93"/>
      <c r="Q21" s="93"/>
      <c r="R21" s="93"/>
      <c r="S21" s="94"/>
      <c r="U21" s="15">
        <v>11</v>
      </c>
      <c r="V21" s="74" t="s">
        <v>3</v>
      </c>
      <c r="W21" s="75"/>
      <c r="X21" s="75"/>
      <c r="Y21" s="75"/>
      <c r="Z21" s="93"/>
      <c r="AA21" s="93"/>
      <c r="AB21" s="93"/>
      <c r="AC21" s="94"/>
    </row>
    <row r="22" spans="1:29" x14ac:dyDescent="0.25">
      <c r="A22">
        <v>12</v>
      </c>
      <c r="B22" t="str">
        <f t="shared" si="0"/>
        <v>39</v>
      </c>
      <c r="C22" s="21" t="str">
        <f t="shared" si="1"/>
        <v>00111001</v>
      </c>
      <c r="D22" s="19">
        <f t="shared" si="2"/>
        <v>57</v>
      </c>
      <c r="E22" s="19"/>
      <c r="F22" s="68" t="s">
        <v>169</v>
      </c>
      <c r="G22" s="69">
        <f>IF(G66=2,G72*360/512,MOD((450-DEGREES(ATAN2(G20,G19))),360))</f>
        <v>37.467398599052615</v>
      </c>
      <c r="K22" s="15">
        <v>12</v>
      </c>
      <c r="L22" s="71"/>
      <c r="M22" s="72"/>
      <c r="N22" s="72"/>
      <c r="O22" s="73"/>
      <c r="P22" s="95" t="s">
        <v>7</v>
      </c>
      <c r="Q22" s="113"/>
      <c r="R22" s="113"/>
      <c r="S22" s="96"/>
      <c r="U22" s="15">
        <v>12</v>
      </c>
      <c r="V22" s="71"/>
      <c r="W22" s="72"/>
      <c r="X22" s="72"/>
      <c r="Y22" s="73"/>
      <c r="Z22" s="95" t="s">
        <v>7</v>
      </c>
      <c r="AA22" s="113"/>
      <c r="AB22" s="113"/>
      <c r="AC22" s="96"/>
    </row>
    <row r="23" spans="1:29" x14ac:dyDescent="0.25">
      <c r="A23">
        <v>13</v>
      </c>
      <c r="B23" t="str">
        <f t="shared" si="0"/>
        <v>02</v>
      </c>
      <c r="C23" s="21" t="str">
        <f t="shared" si="1"/>
        <v>00000010</v>
      </c>
      <c r="D23" s="19">
        <f t="shared" si="2"/>
        <v>2</v>
      </c>
      <c r="E23" s="19"/>
      <c r="F23" s="37" t="s">
        <v>168</v>
      </c>
      <c r="G23" s="5">
        <f>IF(G66=2,"On ground",IF(G76=0,"N/A",(G76-1)*G75*64))</f>
        <v>-64</v>
      </c>
      <c r="K23" s="15">
        <v>13</v>
      </c>
      <c r="L23" s="91" t="s">
        <v>8</v>
      </c>
      <c r="M23" s="114"/>
      <c r="N23" s="4" t="s">
        <v>9</v>
      </c>
      <c r="O23" s="115"/>
      <c r="P23" s="116"/>
      <c r="Q23" s="116"/>
      <c r="R23" s="116"/>
      <c r="S23" s="117"/>
      <c r="U23" s="15">
        <v>13</v>
      </c>
      <c r="V23" s="91" t="s">
        <v>8</v>
      </c>
      <c r="W23" s="114"/>
      <c r="X23" s="4" t="s">
        <v>9</v>
      </c>
      <c r="Y23" s="115"/>
      <c r="Z23" s="116"/>
      <c r="AA23" s="116"/>
      <c r="AB23" s="116"/>
      <c r="AC23" s="117"/>
    </row>
    <row r="24" spans="1:29" x14ac:dyDescent="0.25">
      <c r="A24">
        <v>14</v>
      </c>
      <c r="B24" t="str">
        <f t="shared" si="0"/>
        <v>28</v>
      </c>
      <c r="C24" s="21" t="str">
        <f t="shared" si="1"/>
        <v>00101000</v>
      </c>
      <c r="D24" s="19">
        <f t="shared" si="2"/>
        <v>40</v>
      </c>
      <c r="E24" s="19"/>
      <c r="F24" s="37" t="s">
        <v>147</v>
      </c>
      <c r="G24" s="30" t="str">
        <f>IF(G66=0,"Airborne",IF(G66=1,"Airborne (Supersonic)",IF(G66=2,"On ground","N/A")))</f>
        <v>Airborne</v>
      </c>
      <c r="K24" s="15">
        <v>14</v>
      </c>
      <c r="L24" s="115" t="s">
        <v>10</v>
      </c>
      <c r="M24" s="116"/>
      <c r="N24" s="116"/>
      <c r="O24" s="118"/>
      <c r="P24" s="118"/>
      <c r="Q24" s="118"/>
      <c r="R24" s="118"/>
      <c r="S24" s="119"/>
      <c r="U24" s="15">
        <v>14</v>
      </c>
      <c r="V24" s="115" t="s">
        <v>10</v>
      </c>
      <c r="W24" s="116"/>
      <c r="X24" s="116"/>
      <c r="Y24" s="116"/>
      <c r="Z24" s="118"/>
      <c r="AA24" s="118"/>
      <c r="AB24" s="118"/>
      <c r="AC24" s="119"/>
    </row>
    <row r="25" spans="1:29" x14ac:dyDescent="0.25">
      <c r="A25">
        <v>15</v>
      </c>
      <c r="B25" t="str">
        <f t="shared" si="0"/>
        <v>35</v>
      </c>
      <c r="C25" s="21" t="str">
        <f t="shared" si="1"/>
        <v>00110101</v>
      </c>
      <c r="D25" s="19">
        <f t="shared" si="2"/>
        <v>53</v>
      </c>
      <c r="E25" s="19"/>
      <c r="F25" s="36" t="s">
        <v>149</v>
      </c>
      <c r="G25" s="29">
        <f>BIN2DEC(MID(C27,5,1))</f>
        <v>1</v>
      </c>
      <c r="K25" s="15">
        <v>15</v>
      </c>
      <c r="L25" s="120"/>
      <c r="M25" s="121"/>
      <c r="N25" s="121"/>
      <c r="O25" s="121"/>
      <c r="P25" s="121"/>
      <c r="Q25" s="121"/>
      <c r="R25" s="121"/>
      <c r="S25" s="122"/>
      <c r="U25" s="15">
        <v>15</v>
      </c>
      <c r="V25" s="120"/>
      <c r="W25" s="121"/>
      <c r="X25" s="121"/>
      <c r="Y25" s="121"/>
      <c r="Z25" s="121"/>
      <c r="AA25" s="121"/>
      <c r="AB25" s="121"/>
      <c r="AC25" s="122"/>
    </row>
    <row r="26" spans="1:29" x14ac:dyDescent="0.25">
      <c r="A26">
        <v>16</v>
      </c>
      <c r="B26" t="str">
        <f t="shared" si="0"/>
        <v>20</v>
      </c>
      <c r="C26" s="21" t="str">
        <f t="shared" si="1"/>
        <v>00100000</v>
      </c>
      <c r="D26" s="19">
        <f t="shared" si="2"/>
        <v>32</v>
      </c>
      <c r="E26" s="19"/>
      <c r="F26" s="1" t="s">
        <v>66</v>
      </c>
      <c r="G26" s="24" t="str">
        <f>CONCATENATE(G79,"  [",LOOKUP(G79,E93:E132,G93:G132),"]")</f>
        <v>1  [Light (&lt;15500 lb)]</v>
      </c>
      <c r="K26" s="15">
        <v>16</v>
      </c>
      <c r="L26" s="9"/>
      <c r="M26" s="115" t="s">
        <v>13</v>
      </c>
      <c r="N26" s="116"/>
      <c r="O26" s="116"/>
      <c r="P26" s="123"/>
      <c r="Q26" s="123"/>
      <c r="R26" s="123"/>
      <c r="S26" s="124"/>
      <c r="U26" s="15">
        <v>16</v>
      </c>
      <c r="V26" s="9"/>
      <c r="W26" s="115" t="s">
        <v>13</v>
      </c>
      <c r="X26" s="116"/>
      <c r="Y26" s="116"/>
      <c r="Z26" s="123"/>
      <c r="AA26" s="123"/>
      <c r="AB26" s="123"/>
      <c r="AC26" s="124"/>
    </row>
    <row r="27" spans="1:29" x14ac:dyDescent="0.25">
      <c r="A27">
        <v>17</v>
      </c>
      <c r="B27" t="str">
        <f t="shared" si="0"/>
        <v>2f</v>
      </c>
      <c r="C27" s="21" t="str">
        <f t="shared" si="1"/>
        <v>00101111</v>
      </c>
      <c r="D27" s="19">
        <f t="shared" si="2"/>
        <v>47</v>
      </c>
      <c r="E27" s="19"/>
      <c r="F27" s="28" t="s">
        <v>127</v>
      </c>
      <c r="G27" s="24" t="str">
        <f>CONCATENATE(H80,H81,H83,H84,H85,H87,H88,H89)</f>
        <v xml:space="preserve">N52TB   </v>
      </c>
      <c r="K27" s="15">
        <v>17</v>
      </c>
      <c r="L27" s="125"/>
      <c r="M27" s="121"/>
      <c r="N27" s="121"/>
      <c r="O27" s="122"/>
      <c r="P27" s="13" t="s">
        <v>11</v>
      </c>
      <c r="Q27" s="91" t="s">
        <v>12</v>
      </c>
      <c r="R27" s="114"/>
      <c r="S27" s="92"/>
      <c r="U27" s="15">
        <v>17</v>
      </c>
      <c r="V27" s="125"/>
      <c r="W27" s="121"/>
      <c r="X27" s="121"/>
      <c r="Y27" s="122"/>
      <c r="Z27" s="13" t="s">
        <v>11</v>
      </c>
      <c r="AA27" s="132" t="s">
        <v>31</v>
      </c>
      <c r="AB27" s="133"/>
      <c r="AC27" s="134"/>
    </row>
    <row r="28" spans="1:29" x14ac:dyDescent="0.25">
      <c r="A28">
        <v>18</v>
      </c>
      <c r="B28" t="str">
        <f t="shared" si="0"/>
        <v>09</v>
      </c>
      <c r="C28" s="21" t="str">
        <f t="shared" si="1"/>
        <v>00001001</v>
      </c>
      <c r="D28" s="19">
        <f t="shared" si="2"/>
        <v>9</v>
      </c>
      <c r="E28" s="19"/>
      <c r="F28" s="20" t="s">
        <v>27</v>
      </c>
      <c r="G28" s="24" t="str">
        <f>IF(MID(C37,7,1)="1","1 (Callsign)","0 (Flight ID / Squawk)")</f>
        <v>1 (Callsign)</v>
      </c>
      <c r="K28" s="15">
        <v>18</v>
      </c>
      <c r="L28" s="82" t="s">
        <v>14</v>
      </c>
      <c r="M28" s="83"/>
      <c r="N28" s="83"/>
      <c r="O28" s="83"/>
      <c r="P28" s="83"/>
      <c r="Q28" s="83"/>
      <c r="R28" s="83"/>
      <c r="S28" s="84"/>
      <c r="U28" s="15">
        <v>18</v>
      </c>
      <c r="V28" s="82" t="s">
        <v>50</v>
      </c>
      <c r="W28" s="83"/>
      <c r="X28" s="83"/>
      <c r="Y28" s="83"/>
      <c r="Z28" s="83"/>
      <c r="AA28" s="83"/>
      <c r="AB28" s="83"/>
      <c r="AC28" s="84"/>
    </row>
    <row r="29" spans="1:29" x14ac:dyDescent="0.25">
      <c r="A29">
        <v>19</v>
      </c>
      <c r="B29" t="str">
        <f t="shared" si="0"/>
        <v>dd</v>
      </c>
      <c r="C29" s="21" t="str">
        <f t="shared" si="1"/>
        <v>11011101</v>
      </c>
      <c r="D29" s="19">
        <f t="shared" si="2"/>
        <v>221</v>
      </c>
      <c r="E29" s="19"/>
      <c r="F29" s="1" t="s">
        <v>17</v>
      </c>
      <c r="G29" s="30" t="str">
        <f ca="1">CONCATENATE(BIN2DEC(LEFT(C34,3))," [",LOOKUP(BIN2DEC(LEFT(C34,3)),E93:E100,H93:H99),"]")</f>
        <v>0 [None]</v>
      </c>
      <c r="K29" s="15">
        <v>19</v>
      </c>
      <c r="L29" s="88"/>
      <c r="M29" s="89"/>
      <c r="N29" s="89"/>
      <c r="O29" s="89"/>
      <c r="P29" s="89"/>
      <c r="Q29" s="89"/>
      <c r="R29" s="89"/>
      <c r="S29" s="90"/>
      <c r="U29" s="15">
        <v>19</v>
      </c>
      <c r="V29" s="88"/>
      <c r="W29" s="89"/>
      <c r="X29" s="89"/>
      <c r="Y29" s="89"/>
      <c r="Z29" s="89"/>
      <c r="AA29" s="89"/>
      <c r="AB29" s="89"/>
      <c r="AC29" s="90"/>
    </row>
    <row r="30" spans="1:29" x14ac:dyDescent="0.25">
      <c r="A30">
        <v>20</v>
      </c>
      <c r="B30" t="str">
        <f t="shared" si="0"/>
        <v>11</v>
      </c>
      <c r="C30" s="21" t="str">
        <f t="shared" si="1"/>
        <v>00010001</v>
      </c>
      <c r="D30" s="19">
        <f t="shared" si="2"/>
        <v>17</v>
      </c>
      <c r="E30" s="19"/>
      <c r="F30" s="28" t="s">
        <v>23</v>
      </c>
      <c r="G30" s="12">
        <f>BIN2DEC(LEFT(C35,6))</f>
        <v>12</v>
      </c>
      <c r="K30" s="15">
        <v>20</v>
      </c>
      <c r="L30" s="82" t="s">
        <v>15</v>
      </c>
      <c r="M30" s="83"/>
      <c r="N30" s="83"/>
      <c r="O30" s="83"/>
      <c r="P30" s="83"/>
      <c r="Q30" s="83"/>
      <c r="R30" s="83"/>
      <c r="S30" s="84"/>
      <c r="U30" s="15">
        <v>20</v>
      </c>
      <c r="V30" s="82" t="s">
        <v>51</v>
      </c>
      <c r="W30" s="83"/>
      <c r="X30" s="83"/>
      <c r="Y30" s="83"/>
      <c r="Z30" s="83"/>
      <c r="AA30" s="83"/>
      <c r="AB30" s="83"/>
      <c r="AC30" s="84"/>
    </row>
    <row r="31" spans="1:29" x14ac:dyDescent="0.25">
      <c r="A31">
        <v>21</v>
      </c>
      <c r="B31" t="str">
        <f t="shared" si="0"/>
        <v>13</v>
      </c>
      <c r="C31" s="21" t="str">
        <f t="shared" si="1"/>
        <v>00010011</v>
      </c>
      <c r="D31" s="19">
        <f t="shared" si="2"/>
        <v>19</v>
      </c>
      <c r="E31" s="19"/>
      <c r="F31" s="8" t="s">
        <v>137</v>
      </c>
      <c r="G31" s="32"/>
      <c r="K31" s="15">
        <v>21</v>
      </c>
      <c r="L31" s="88"/>
      <c r="M31" s="89"/>
      <c r="N31" s="89"/>
      <c r="O31" s="89"/>
      <c r="P31" s="89"/>
      <c r="Q31" s="89"/>
      <c r="R31" s="89"/>
      <c r="S31" s="90"/>
      <c r="U31" s="15">
        <v>21</v>
      </c>
      <c r="V31" s="88"/>
      <c r="W31" s="89"/>
      <c r="X31" s="89"/>
      <c r="Y31" s="89"/>
      <c r="Z31" s="89"/>
      <c r="AA31" s="89"/>
      <c r="AB31" s="89"/>
      <c r="AC31" s="90"/>
    </row>
    <row r="32" spans="1:29" x14ac:dyDescent="0.25">
      <c r="A32">
        <v>22</v>
      </c>
      <c r="B32" t="str">
        <f t="shared" si="0"/>
        <v>e6</v>
      </c>
      <c r="C32" s="21" t="str">
        <f t="shared" si="1"/>
        <v>11100110</v>
      </c>
      <c r="D32" s="19">
        <f t="shared" si="2"/>
        <v>230</v>
      </c>
      <c r="E32" s="19"/>
      <c r="F32" s="26" t="s">
        <v>138</v>
      </c>
      <c r="G32" s="33" t="str">
        <f>IF(G11&gt;1,IF(LEFT(C37,1)="1","Yes","No"),"N/A")</f>
        <v>Yes</v>
      </c>
      <c r="K32" s="15">
        <v>22</v>
      </c>
      <c r="L32" s="82" t="s">
        <v>16</v>
      </c>
      <c r="M32" s="83"/>
      <c r="N32" s="83"/>
      <c r="O32" s="83"/>
      <c r="P32" s="83"/>
      <c r="Q32" s="83"/>
      <c r="R32" s="83"/>
      <c r="S32" s="84"/>
      <c r="U32" s="15">
        <v>22</v>
      </c>
      <c r="V32" s="82" t="s">
        <v>52</v>
      </c>
      <c r="W32" s="83"/>
      <c r="X32" s="83"/>
      <c r="Y32" s="83"/>
      <c r="Z32" s="83"/>
      <c r="AA32" s="83"/>
      <c r="AB32" s="83"/>
      <c r="AC32" s="84"/>
    </row>
    <row r="33" spans="1:29" x14ac:dyDescent="0.25">
      <c r="A33">
        <v>23</v>
      </c>
      <c r="B33" t="str">
        <f t="shared" si="0"/>
        <v>c4</v>
      </c>
      <c r="C33" s="21" t="str">
        <f t="shared" si="1"/>
        <v>11000100</v>
      </c>
      <c r="D33" s="19">
        <f t="shared" si="2"/>
        <v>196</v>
      </c>
      <c r="E33" s="19"/>
      <c r="F33" s="26" t="s">
        <v>139</v>
      </c>
      <c r="G33" s="33" t="str">
        <f>IF(G11&gt;1,IF(MID(C37,2,1)="1","Yes","No"),"N/A")</f>
        <v>Yes</v>
      </c>
      <c r="K33" s="15">
        <v>23</v>
      </c>
      <c r="L33" s="88"/>
      <c r="M33" s="89"/>
      <c r="N33" s="89"/>
      <c r="O33" s="89"/>
      <c r="P33" s="89"/>
      <c r="Q33" s="89"/>
      <c r="R33" s="89"/>
      <c r="S33" s="90"/>
      <c r="U33" s="15">
        <v>23</v>
      </c>
      <c r="V33" s="88"/>
      <c r="W33" s="89"/>
      <c r="X33" s="89"/>
      <c r="Y33" s="89"/>
      <c r="Z33" s="89"/>
      <c r="AA33" s="89"/>
      <c r="AB33" s="89"/>
      <c r="AC33" s="90"/>
    </row>
    <row r="34" spans="1:29" x14ac:dyDescent="0.25">
      <c r="A34">
        <v>24</v>
      </c>
      <c r="B34" t="str">
        <f t="shared" si="0"/>
        <v>0b</v>
      </c>
      <c r="C34" s="21" t="str">
        <f t="shared" si="1"/>
        <v>00001011</v>
      </c>
      <c r="D34" s="19">
        <f t="shared" si="2"/>
        <v>11</v>
      </c>
      <c r="E34" s="19"/>
      <c r="F34" s="26" t="s">
        <v>140</v>
      </c>
      <c r="G34" s="31" t="str">
        <f>IF(G11&gt;1,IF(MID(C37,3,1)="1","Yes","No"),"N/A")</f>
        <v>No</v>
      </c>
      <c r="K34" s="15">
        <v>24</v>
      </c>
      <c r="L34" s="91" t="s">
        <v>17</v>
      </c>
      <c r="M34" s="114"/>
      <c r="N34" s="92"/>
      <c r="O34" s="91" t="s">
        <v>18</v>
      </c>
      <c r="P34" s="114"/>
      <c r="Q34" s="92"/>
      <c r="R34" s="95" t="s">
        <v>19</v>
      </c>
      <c r="S34" s="96"/>
      <c r="U34" s="15">
        <v>24</v>
      </c>
      <c r="V34" s="91" t="s">
        <v>17</v>
      </c>
      <c r="W34" s="114"/>
      <c r="X34" s="92"/>
      <c r="Y34" s="91" t="s">
        <v>18</v>
      </c>
      <c r="Z34" s="114"/>
      <c r="AA34" s="92"/>
      <c r="AB34" s="95" t="s">
        <v>19</v>
      </c>
      <c r="AC34" s="96"/>
    </row>
    <row r="35" spans="1:29" x14ac:dyDescent="0.25">
      <c r="A35">
        <v>25</v>
      </c>
      <c r="B35" t="str">
        <f t="shared" si="0"/>
        <v>32</v>
      </c>
      <c r="C35" s="21" t="str">
        <f t="shared" si="1"/>
        <v>00110010</v>
      </c>
      <c r="D35" s="19">
        <f t="shared" si="2"/>
        <v>50</v>
      </c>
      <c r="E35" s="19"/>
      <c r="F35" s="2" t="s">
        <v>141</v>
      </c>
      <c r="G35" s="32"/>
      <c r="K35" s="15">
        <v>25</v>
      </c>
      <c r="L35" s="91" t="s">
        <v>23</v>
      </c>
      <c r="M35" s="114"/>
      <c r="N35" s="114"/>
      <c r="O35" s="114"/>
      <c r="P35" s="114"/>
      <c r="Q35" s="92"/>
      <c r="R35" s="95" t="s">
        <v>24</v>
      </c>
      <c r="S35" s="96"/>
      <c r="U35" s="15">
        <v>25</v>
      </c>
      <c r="V35" s="91" t="s">
        <v>23</v>
      </c>
      <c r="W35" s="114"/>
      <c r="X35" s="114"/>
      <c r="Y35" s="114"/>
      <c r="Z35" s="114"/>
      <c r="AA35" s="92"/>
      <c r="AB35" s="100" t="s">
        <v>31</v>
      </c>
      <c r="AC35" s="131"/>
    </row>
    <row r="36" spans="1:29" x14ac:dyDescent="0.25">
      <c r="A36">
        <v>26</v>
      </c>
      <c r="B36" t="str">
        <f t="shared" si="0"/>
        <v>a4</v>
      </c>
      <c r="C36" s="21" t="str">
        <f t="shared" si="1"/>
        <v>10100100</v>
      </c>
      <c r="D36" s="19">
        <f t="shared" si="2"/>
        <v>164</v>
      </c>
      <c r="E36" s="19"/>
      <c r="F36" s="27" t="s">
        <v>142</v>
      </c>
      <c r="G36" s="33" t="str">
        <f>IF(G11&gt;1,IF(MID(C37,4,1)="1","Yes","No"),"N/A")</f>
        <v>No</v>
      </c>
      <c r="K36" s="15">
        <v>26</v>
      </c>
      <c r="L36" s="95" t="s">
        <v>20</v>
      </c>
      <c r="M36" s="113"/>
      <c r="N36" s="113"/>
      <c r="O36" s="96"/>
      <c r="P36" s="95" t="s">
        <v>21</v>
      </c>
      <c r="Q36" s="113"/>
      <c r="R36" s="96"/>
      <c r="S36" s="11" t="s">
        <v>22</v>
      </c>
      <c r="U36" s="15">
        <v>26</v>
      </c>
      <c r="V36" s="95" t="s">
        <v>20</v>
      </c>
      <c r="W36" s="113"/>
      <c r="X36" s="113"/>
      <c r="Y36" s="96"/>
      <c r="Z36" s="95" t="s">
        <v>21</v>
      </c>
      <c r="AA36" s="113"/>
      <c r="AB36" s="96"/>
      <c r="AC36" s="11" t="s">
        <v>22</v>
      </c>
    </row>
    <row r="37" spans="1:29" x14ac:dyDescent="0.25">
      <c r="A37">
        <v>27</v>
      </c>
      <c r="B37" t="str">
        <f t="shared" si="0"/>
        <v>c2</v>
      </c>
      <c r="C37" s="21" t="str">
        <f t="shared" si="1"/>
        <v>11000010</v>
      </c>
      <c r="D37" s="19">
        <f t="shared" si="2"/>
        <v>194</v>
      </c>
      <c r="E37" s="19"/>
      <c r="F37" s="26" t="s">
        <v>143</v>
      </c>
      <c r="G37" s="35" t="str">
        <f>IF(G11&gt;1,IF(MID(C37,5,1)="1","Yes","No"),"N/A")</f>
        <v>No</v>
      </c>
      <c r="K37" s="15">
        <v>27</v>
      </c>
      <c r="L37" s="91" t="s">
        <v>25</v>
      </c>
      <c r="M37" s="114"/>
      <c r="N37" s="92"/>
      <c r="O37" s="91" t="s">
        <v>26</v>
      </c>
      <c r="P37" s="114"/>
      <c r="Q37" s="92"/>
      <c r="R37" s="7" t="s">
        <v>27</v>
      </c>
      <c r="S37" s="11" t="s">
        <v>28</v>
      </c>
      <c r="U37" s="15">
        <v>27</v>
      </c>
      <c r="V37" s="91" t="s">
        <v>25</v>
      </c>
      <c r="W37" s="114"/>
      <c r="X37" s="91" t="s">
        <v>26</v>
      </c>
      <c r="Y37" s="114"/>
      <c r="Z37" s="92"/>
      <c r="AA37" s="17" t="s">
        <v>53</v>
      </c>
      <c r="AB37" s="7" t="s">
        <v>27</v>
      </c>
      <c r="AC37" s="18"/>
    </row>
    <row r="38" spans="1:29" x14ac:dyDescent="0.25">
      <c r="A38">
        <v>28</v>
      </c>
      <c r="B38" t="str">
        <f t="shared" si="0"/>
        <v>a0</v>
      </c>
      <c r="C38" s="21" t="str">
        <f t="shared" si="1"/>
        <v>10100000</v>
      </c>
      <c r="D38" s="19">
        <f t="shared" si="2"/>
        <v>160</v>
      </c>
      <c r="E38" s="19"/>
      <c r="F38" s="34" t="s">
        <v>144</v>
      </c>
      <c r="G38" s="31" t="str">
        <f>IF(G11&gt;1,IF(MID(C37,6,1)="1","Yes","No"),"N/A")</f>
        <v>No</v>
      </c>
      <c r="K38" s="15">
        <v>28</v>
      </c>
      <c r="L38" s="95" t="s">
        <v>29</v>
      </c>
      <c r="M38" s="96"/>
      <c r="N38" s="13" t="s">
        <v>30</v>
      </c>
      <c r="O38" s="97"/>
      <c r="P38" s="98"/>
      <c r="Q38" s="98"/>
      <c r="R38" s="98"/>
      <c r="S38" s="99"/>
      <c r="U38" s="15">
        <v>28</v>
      </c>
      <c r="V38" s="127" t="s">
        <v>31</v>
      </c>
      <c r="W38" s="128"/>
      <c r="X38" s="128"/>
      <c r="Y38" s="128"/>
      <c r="Z38" s="128"/>
      <c r="AA38" s="128"/>
      <c r="AB38" s="128"/>
      <c r="AC38" s="129"/>
    </row>
    <row r="39" spans="1:29" x14ac:dyDescent="0.25">
      <c r="A39">
        <v>29</v>
      </c>
      <c r="B39" t="str">
        <f t="shared" si="0"/>
        <v>00</v>
      </c>
      <c r="C39" s="21" t="str">
        <f t="shared" si="1"/>
        <v>00000000</v>
      </c>
      <c r="D39" s="19">
        <f t="shared" si="2"/>
        <v>0</v>
      </c>
      <c r="E39" s="19"/>
      <c r="F39" s="1" t="s">
        <v>7</v>
      </c>
      <c r="G39" s="11">
        <f>BIN2DEC(RIGHT(C22,4))</f>
        <v>9</v>
      </c>
      <c r="K39" s="15">
        <v>29</v>
      </c>
      <c r="L39" s="100" t="s">
        <v>31</v>
      </c>
      <c r="M39" s="101"/>
      <c r="N39" s="101"/>
      <c r="O39" s="102"/>
      <c r="P39" s="102"/>
      <c r="Q39" s="102"/>
      <c r="R39" s="102"/>
      <c r="S39" s="103"/>
      <c r="U39" s="15">
        <v>29</v>
      </c>
      <c r="V39" s="130"/>
      <c r="W39" s="102"/>
      <c r="X39" s="102"/>
      <c r="Y39" s="102"/>
      <c r="Z39" s="102"/>
      <c r="AA39" s="102"/>
      <c r="AB39" s="102"/>
      <c r="AC39" s="103"/>
    </row>
    <row r="40" spans="1:29" x14ac:dyDescent="0.25">
      <c r="A40">
        <v>30</v>
      </c>
      <c r="B40" t="str">
        <f t="shared" si="0"/>
        <v>09</v>
      </c>
      <c r="C40" s="21" t="str">
        <f t="shared" si="1"/>
        <v>00001001</v>
      </c>
      <c r="D40" s="19">
        <f t="shared" si="2"/>
        <v>9</v>
      </c>
      <c r="E40" s="19"/>
      <c r="F40" s="1" t="s">
        <v>20</v>
      </c>
      <c r="G40" s="11">
        <f>BIN2DEC(LEFT(C36,4))</f>
        <v>10</v>
      </c>
      <c r="K40" s="15">
        <v>30</v>
      </c>
      <c r="L40" s="74" t="s">
        <v>32</v>
      </c>
      <c r="M40" s="75"/>
      <c r="N40" s="75"/>
      <c r="O40" s="75"/>
      <c r="P40" s="93"/>
      <c r="Q40" s="93"/>
      <c r="R40" s="93"/>
      <c r="S40" s="94"/>
      <c r="U40" s="15">
        <v>30</v>
      </c>
      <c r="V40" s="74" t="s">
        <v>32</v>
      </c>
      <c r="W40" s="75"/>
      <c r="X40" s="75"/>
      <c r="Y40" s="75"/>
      <c r="Z40" s="93"/>
      <c r="AA40" s="93"/>
      <c r="AB40" s="93"/>
      <c r="AC40" s="94"/>
    </row>
    <row r="41" spans="1:29" x14ac:dyDescent="0.25">
      <c r="A41">
        <v>31</v>
      </c>
      <c r="B41" t="str">
        <f t="shared" si="0"/>
        <v>30</v>
      </c>
      <c r="C41" s="21" t="str">
        <f t="shared" si="1"/>
        <v>00110000</v>
      </c>
      <c r="D41" s="19">
        <f t="shared" si="2"/>
        <v>48</v>
      </c>
      <c r="E41" s="19"/>
      <c r="F41" s="1" t="s">
        <v>21</v>
      </c>
      <c r="G41" s="11">
        <f>BIN2DEC(MID(C36,5,3))</f>
        <v>2</v>
      </c>
      <c r="K41" s="15">
        <v>31</v>
      </c>
      <c r="L41" s="71"/>
      <c r="M41" s="72"/>
      <c r="N41" s="72"/>
      <c r="O41" s="73"/>
      <c r="P41" s="104"/>
      <c r="Q41" s="105"/>
      <c r="R41" s="105"/>
      <c r="S41" s="106"/>
      <c r="U41" s="15">
        <v>31</v>
      </c>
      <c r="V41" s="71"/>
      <c r="W41" s="72"/>
      <c r="X41" s="72"/>
      <c r="Y41" s="73"/>
      <c r="Z41" s="104"/>
      <c r="AA41" s="105"/>
      <c r="AB41" s="105"/>
      <c r="AC41" s="106"/>
    </row>
    <row r="42" spans="1:29" x14ac:dyDescent="0.25">
      <c r="A42">
        <v>32</v>
      </c>
      <c r="B42" t="str">
        <f t="shared" si="0"/>
        <v>00</v>
      </c>
      <c r="C42" s="21" t="str">
        <f t="shared" si="1"/>
        <v>00000000</v>
      </c>
      <c r="D42" s="19">
        <f t="shared" si="2"/>
        <v>0</v>
      </c>
      <c r="E42" s="19"/>
      <c r="F42" s="1" t="s">
        <v>19</v>
      </c>
      <c r="G42" s="11">
        <f>BIN2DEC(RIGHT(C34,2))</f>
        <v>3</v>
      </c>
      <c r="K42" s="15">
        <v>32</v>
      </c>
      <c r="L42" s="107" t="s">
        <v>31</v>
      </c>
      <c r="M42" s="108"/>
      <c r="N42" s="108"/>
      <c r="O42" s="108"/>
      <c r="P42" s="108"/>
      <c r="Q42" s="108"/>
      <c r="R42" s="108"/>
      <c r="S42" s="109"/>
      <c r="U42" s="15">
        <v>32</v>
      </c>
      <c r="V42" s="107" t="s">
        <v>31</v>
      </c>
      <c r="W42" s="108"/>
      <c r="X42" s="108"/>
      <c r="Y42" s="108"/>
      <c r="Z42" s="108"/>
      <c r="AA42" s="108"/>
      <c r="AB42" s="108"/>
      <c r="AC42" s="109"/>
    </row>
    <row r="43" spans="1:29" x14ac:dyDescent="0.25">
      <c r="A43">
        <v>33</v>
      </c>
      <c r="B43" t="str">
        <f t="shared" si="0"/>
        <v>00</v>
      </c>
      <c r="C43" s="21" t="str">
        <f t="shared" si="1"/>
        <v>00000000</v>
      </c>
      <c r="D43" s="19">
        <f t="shared" si="2"/>
        <v>0</v>
      </c>
      <c r="E43" s="19"/>
      <c r="F43" s="1" t="s">
        <v>24</v>
      </c>
      <c r="G43" s="25">
        <f>IF(G11&lt;2,"N/A (UAT Version &lt; 2)",BIN2DEC(RIGHT(C35,2)))</f>
        <v>2</v>
      </c>
      <c r="K43" s="15">
        <v>33</v>
      </c>
      <c r="L43" s="107"/>
      <c r="M43" s="108"/>
      <c r="N43" s="108"/>
      <c r="O43" s="108"/>
      <c r="P43" s="108"/>
      <c r="Q43" s="108"/>
      <c r="R43" s="108"/>
      <c r="S43" s="109"/>
      <c r="U43" s="15">
        <v>33</v>
      </c>
      <c r="V43" s="107"/>
      <c r="W43" s="108"/>
      <c r="X43" s="108"/>
      <c r="Y43" s="108"/>
      <c r="Z43" s="108"/>
      <c r="AA43" s="108"/>
      <c r="AB43" s="108"/>
      <c r="AC43" s="109"/>
    </row>
    <row r="44" spans="1:29" x14ac:dyDescent="0.25">
      <c r="A44">
        <v>34</v>
      </c>
      <c r="B44" t="str">
        <f t="shared" si="0"/>
        <v>00</v>
      </c>
      <c r="C44" s="21" t="str">
        <f t="shared" si="1"/>
        <v>00000000</v>
      </c>
      <c r="D44" s="19">
        <f t="shared" si="2"/>
        <v>0</v>
      </c>
      <c r="E44" s="19"/>
      <c r="F44" s="1" t="s">
        <v>22</v>
      </c>
      <c r="G44" s="11">
        <f>BIN2DEC(RIGHT(C36))</f>
        <v>0</v>
      </c>
      <c r="K44" s="15">
        <v>34</v>
      </c>
      <c r="L44" s="110"/>
      <c r="M44" s="111"/>
      <c r="N44" s="111"/>
      <c r="O44" s="111"/>
      <c r="P44" s="111"/>
      <c r="Q44" s="111"/>
      <c r="R44" s="111"/>
      <c r="S44" s="112"/>
      <c r="U44" s="15">
        <v>34</v>
      </c>
      <c r="V44" s="110"/>
      <c r="W44" s="111"/>
      <c r="X44" s="111"/>
      <c r="Y44" s="111"/>
      <c r="Z44" s="111"/>
      <c r="AA44" s="111"/>
      <c r="AB44" s="111"/>
      <c r="AC44" s="112"/>
    </row>
    <row r="45" spans="1:29" x14ac:dyDescent="0.25">
      <c r="F45" s="1" t="s">
        <v>64</v>
      </c>
      <c r="G45" s="25">
        <f>IF(G11&lt;2,"N/A (UAT Version &lt; 2)",BIN2DEC(RIGHT(C37,1)))</f>
        <v>0</v>
      </c>
    </row>
    <row r="46" spans="1:29" x14ac:dyDescent="0.25">
      <c r="F46" s="1" t="s">
        <v>65</v>
      </c>
      <c r="G46" s="25">
        <f>IF(G11&lt;2,"N/A (UAT Version &lt; 2)",BIN2DEC(LEFT(C38,2)))</f>
        <v>2</v>
      </c>
    </row>
    <row r="47" spans="1:29" x14ac:dyDescent="0.25">
      <c r="A47" t="s">
        <v>179</v>
      </c>
    </row>
    <row r="48" spans="1:29" x14ac:dyDescent="0.25">
      <c r="A48" t="s">
        <v>182</v>
      </c>
      <c r="C48" t="s">
        <v>54</v>
      </c>
    </row>
    <row r="49" spans="1:9" x14ac:dyDescent="0.25">
      <c r="C49" t="s">
        <v>171</v>
      </c>
    </row>
    <row r="50" spans="1:9" x14ac:dyDescent="0.25">
      <c r="C50" t="s">
        <v>172</v>
      </c>
    </row>
    <row r="51" spans="1:9" x14ac:dyDescent="0.25">
      <c r="C51" t="s">
        <v>174</v>
      </c>
    </row>
    <row r="52" spans="1:9" x14ac:dyDescent="0.25">
      <c r="C52" t="s">
        <v>175</v>
      </c>
    </row>
    <row r="53" spans="1:9" x14ac:dyDescent="0.25">
      <c r="C53" t="s">
        <v>176</v>
      </c>
    </row>
    <row r="54" spans="1:9" x14ac:dyDescent="0.25">
      <c r="A54" t="s">
        <v>181</v>
      </c>
      <c r="C54" t="s">
        <v>177</v>
      </c>
      <c r="F54" s="38"/>
      <c r="G54" s="38"/>
      <c r="H54" s="38"/>
    </row>
    <row r="55" spans="1:9" x14ac:dyDescent="0.25">
      <c r="A55" t="s">
        <v>180</v>
      </c>
      <c r="C55" t="s">
        <v>178</v>
      </c>
      <c r="F55" s="38"/>
      <c r="G55" s="39"/>
      <c r="H55" s="38"/>
    </row>
    <row r="56" spans="1:9" x14ac:dyDescent="0.25">
      <c r="A56" t="s">
        <v>184</v>
      </c>
      <c r="C56" t="s">
        <v>183</v>
      </c>
      <c r="F56" s="38"/>
      <c r="G56" s="39"/>
      <c r="H56" s="38"/>
    </row>
    <row r="57" spans="1:9" x14ac:dyDescent="0.25">
      <c r="A57" t="s">
        <v>188</v>
      </c>
      <c r="C57" t="s">
        <v>185</v>
      </c>
      <c r="F57" s="38"/>
      <c r="G57" s="39"/>
      <c r="H57" s="38"/>
    </row>
    <row r="58" spans="1:9" ht="15.75" thickBot="1" x14ac:dyDescent="0.3">
      <c r="A58" t="s">
        <v>187</v>
      </c>
      <c r="C58" t="s">
        <v>186</v>
      </c>
      <c r="F58" s="38"/>
      <c r="G58" s="39"/>
      <c r="H58" s="38"/>
    </row>
    <row r="59" spans="1:9" ht="15.75" thickTop="1" x14ac:dyDescent="0.25">
      <c r="E59" s="42"/>
      <c r="F59" s="43"/>
      <c r="G59" s="44"/>
      <c r="H59" s="43"/>
      <c r="I59" s="45"/>
    </row>
    <row r="60" spans="1:9" x14ac:dyDescent="0.25">
      <c r="E60" s="46"/>
      <c r="F60" s="47" t="s">
        <v>151</v>
      </c>
      <c r="G60" s="48"/>
      <c r="H60" s="47"/>
      <c r="I60" s="49"/>
    </row>
    <row r="61" spans="1:9" x14ac:dyDescent="0.25">
      <c r="E61" s="46"/>
      <c r="F61" s="47"/>
      <c r="G61" s="47"/>
      <c r="H61" s="47"/>
      <c r="I61" s="49"/>
    </row>
    <row r="62" spans="1:9" x14ac:dyDescent="0.25">
      <c r="E62" s="46"/>
      <c r="F62" s="3" t="s">
        <v>128</v>
      </c>
      <c r="G62" s="3">
        <f>LEN(A8)/2</f>
        <v>34</v>
      </c>
      <c r="H62" s="3"/>
      <c r="I62" s="49"/>
    </row>
    <row r="63" spans="1:9" x14ac:dyDescent="0.25">
      <c r="E63" s="46"/>
      <c r="F63" s="50" t="s">
        <v>56</v>
      </c>
      <c r="G63" s="51">
        <f>(32768*BIN2DEC(RIGHT(C15,7))+D16*128+BIN2DEC(LEFT(C17,7)))</f>
        <v>2110068</v>
      </c>
      <c r="H63" s="50">
        <f>IF(LEFT(C15,1)="1",G63-POWER(2,22),G63)</f>
        <v>2110068</v>
      </c>
      <c r="I63" s="49"/>
    </row>
    <row r="64" spans="1:9" x14ac:dyDescent="0.25">
      <c r="E64" s="46"/>
      <c r="F64" s="50" t="s">
        <v>58</v>
      </c>
      <c r="G64" s="50">
        <f>(BIN2DEC(LEFT(C20,7))+128*D19+32768*D18)</f>
        <v>4043290</v>
      </c>
      <c r="H64" s="50">
        <f>IF(RIGHT(C17,1)="1",G64-POWER(2,23),G64)</f>
        <v>-4345318</v>
      </c>
      <c r="I64" s="49"/>
    </row>
    <row r="65" spans="5:9" x14ac:dyDescent="0.25">
      <c r="E65" s="46"/>
      <c r="F65" s="3" t="s">
        <v>61</v>
      </c>
      <c r="G65" s="52">
        <f>16*D21+BIN2DEC(LEFT(C22,4))</f>
        <v>163</v>
      </c>
      <c r="H65" s="3"/>
      <c r="I65" s="49"/>
    </row>
    <row r="66" spans="5:9" x14ac:dyDescent="0.25">
      <c r="E66" s="46"/>
      <c r="F66" s="3" t="s">
        <v>145</v>
      </c>
      <c r="G66" s="3">
        <f>BIN2DEC(LEFT(C23,2))</f>
        <v>0</v>
      </c>
      <c r="H66" s="3"/>
      <c r="I66" s="49"/>
    </row>
    <row r="67" spans="5:9" x14ac:dyDescent="0.25">
      <c r="E67" s="46"/>
      <c r="F67" s="3"/>
      <c r="G67" s="3"/>
      <c r="H67" s="3"/>
      <c r="I67" s="49"/>
    </row>
    <row r="68" spans="5:9" x14ac:dyDescent="0.25">
      <c r="E68" s="46"/>
      <c r="F68" s="3" t="s">
        <v>156</v>
      </c>
      <c r="G68" s="56">
        <f>(BIN2DEC(RIGHT(C23,4))*64+BIN2DEC(LEFT(C24,6)))</f>
        <v>138</v>
      </c>
      <c r="H68" s="3"/>
      <c r="I68" s="49"/>
    </row>
    <row r="69" spans="5:9" x14ac:dyDescent="0.25">
      <c r="E69" s="46"/>
      <c r="F69" s="67" t="s">
        <v>157</v>
      </c>
      <c r="G69" s="3">
        <f>IF(LEFT(C23,1)="1",-1,1)*IF(G66=1,4,1)</f>
        <v>1</v>
      </c>
      <c r="H69" s="3"/>
      <c r="I69" s="49"/>
    </row>
    <row r="70" spans="5:9" x14ac:dyDescent="0.25">
      <c r="E70" s="46"/>
      <c r="F70" s="3" t="s">
        <v>158</v>
      </c>
      <c r="G70" s="52">
        <f>BIN2DEC(RIGHT(C24,1))*512+D25*2+BIN2DEC(LEFT(C26,1))</f>
        <v>106</v>
      </c>
      <c r="H70" s="3"/>
      <c r="I70" s="49"/>
    </row>
    <row r="71" spans="5:9" x14ac:dyDescent="0.25">
      <c r="E71" s="46"/>
      <c r="F71" s="3" t="s">
        <v>167</v>
      </c>
      <c r="G71" s="3">
        <f>IF(MID(C24,7,1)="1",-1,1)*IF(G66=1,4,1)</f>
        <v>1</v>
      </c>
      <c r="H71" s="3"/>
      <c r="I71" s="49"/>
    </row>
    <row r="72" spans="5:9" x14ac:dyDescent="0.25">
      <c r="E72" s="46"/>
      <c r="F72" s="3" t="s">
        <v>159</v>
      </c>
      <c r="G72" s="52">
        <f>D25*2+BIN2DEC(LEFT(C26,1))</f>
        <v>106</v>
      </c>
      <c r="H72" s="3"/>
      <c r="I72" s="49"/>
    </row>
    <row r="73" spans="5:9" x14ac:dyDescent="0.25">
      <c r="E73" s="46"/>
      <c r="F73" s="3" t="s">
        <v>166</v>
      </c>
      <c r="G73" s="52"/>
      <c r="H73" s="3"/>
      <c r="I73" s="49"/>
    </row>
    <row r="74" spans="5:9" x14ac:dyDescent="0.25">
      <c r="E74" s="46"/>
      <c r="F74" s="3" t="s">
        <v>160</v>
      </c>
      <c r="G74" s="3">
        <f>BIN2DEC(RIGHT(C24,2))</f>
        <v>0</v>
      </c>
      <c r="H74" s="3"/>
      <c r="I74" s="49"/>
    </row>
    <row r="75" spans="5:9" x14ac:dyDescent="0.25">
      <c r="E75" s="46"/>
      <c r="F75" s="3" t="s">
        <v>161</v>
      </c>
      <c r="G75" s="3">
        <f>IF(MID(C26,3,1)="1",-1,1)</f>
        <v>-1</v>
      </c>
      <c r="H75" s="3"/>
      <c r="I75" s="49"/>
    </row>
    <row r="76" spans="5:9" x14ac:dyDescent="0.25">
      <c r="E76" s="46"/>
      <c r="F76" s="3" t="s">
        <v>162</v>
      </c>
      <c r="G76" s="52">
        <f>16*BIN2DEC(RIGHT(C26,5))+BIN2DEC(LEFT(C27,4))</f>
        <v>2</v>
      </c>
      <c r="H76" s="3"/>
      <c r="I76" s="49"/>
    </row>
    <row r="77" spans="5:9" x14ac:dyDescent="0.25">
      <c r="E77" s="46"/>
      <c r="F77" s="3" t="s">
        <v>146</v>
      </c>
      <c r="G77" s="3"/>
      <c r="H77" s="3"/>
      <c r="I77" s="49"/>
    </row>
    <row r="78" spans="5:9" x14ac:dyDescent="0.25">
      <c r="E78" s="46"/>
      <c r="F78" s="3" t="s">
        <v>103</v>
      </c>
      <c r="G78" s="53">
        <f>D29+256*D28</f>
        <v>2525</v>
      </c>
      <c r="H78" s="54"/>
      <c r="I78" s="49"/>
    </row>
    <row r="79" spans="5:9" x14ac:dyDescent="0.25">
      <c r="E79" s="46"/>
      <c r="F79" s="55" t="s">
        <v>106</v>
      </c>
      <c r="G79" s="56">
        <f>(G78-G81-40*G80)/1600</f>
        <v>1</v>
      </c>
      <c r="H79" s="54"/>
      <c r="I79" s="49"/>
    </row>
    <row r="80" spans="5:9" x14ac:dyDescent="0.25">
      <c r="E80" s="46"/>
      <c r="F80" s="55" t="s">
        <v>67</v>
      </c>
      <c r="G80" s="56">
        <f>MOD((G78-G81)/40,40)</f>
        <v>23</v>
      </c>
      <c r="H80" s="54" t="str">
        <f>LOOKUP(G80,$E$93:$E$132,$F$93:$F$132)</f>
        <v>N</v>
      </c>
      <c r="I80" s="49"/>
    </row>
    <row r="81" spans="5:9" x14ac:dyDescent="0.25">
      <c r="E81" s="46"/>
      <c r="F81" s="55" t="s">
        <v>68</v>
      </c>
      <c r="G81" s="56">
        <f>MOD(G78,40)</f>
        <v>5</v>
      </c>
      <c r="H81" s="54">
        <f>LOOKUP(G81,$E$93:$E$132,$F$93:$F$132)</f>
        <v>5</v>
      </c>
      <c r="I81" s="49"/>
    </row>
    <row r="82" spans="5:9" x14ac:dyDescent="0.25">
      <c r="E82" s="46"/>
      <c r="F82" s="3" t="s">
        <v>104</v>
      </c>
      <c r="G82" s="53">
        <f>D31+256*D30</f>
        <v>4371</v>
      </c>
      <c r="H82" s="54"/>
      <c r="I82" s="49"/>
    </row>
    <row r="83" spans="5:9" x14ac:dyDescent="0.25">
      <c r="E83" s="46"/>
      <c r="F83" s="55" t="s">
        <v>69</v>
      </c>
      <c r="G83" s="53">
        <f>(G82-G85-40*G84)/1600</f>
        <v>2</v>
      </c>
      <c r="H83" s="54">
        <f>LOOKUP(G83,$E$93:$E$132,$F$93:$F$132)</f>
        <v>2</v>
      </c>
      <c r="I83" s="49"/>
    </row>
    <row r="84" spans="5:9" x14ac:dyDescent="0.25">
      <c r="E84" s="46"/>
      <c r="F84" s="55" t="s">
        <v>70</v>
      </c>
      <c r="G84" s="53">
        <f>MOD((G82-G85)/40,40)</f>
        <v>29</v>
      </c>
      <c r="H84" s="54" t="str">
        <f>LOOKUP(G84,$E$93:$E$132,$F$93:$F$132)</f>
        <v>T</v>
      </c>
      <c r="I84" s="49"/>
    </row>
    <row r="85" spans="5:9" x14ac:dyDescent="0.25">
      <c r="E85" s="46"/>
      <c r="F85" s="55" t="s">
        <v>71</v>
      </c>
      <c r="G85" s="53">
        <f>MOD(G82,40)</f>
        <v>11</v>
      </c>
      <c r="H85" s="54" t="str">
        <f>LOOKUP(G85,$E$93:$E$132,$F$93:$F$132)</f>
        <v>B</v>
      </c>
      <c r="I85" s="49"/>
    </row>
    <row r="86" spans="5:9" x14ac:dyDescent="0.25">
      <c r="E86" s="46"/>
      <c r="F86" s="3" t="s">
        <v>105</v>
      </c>
      <c r="G86" s="53">
        <f>D33+D32*256</f>
        <v>59076</v>
      </c>
      <c r="H86" s="54"/>
      <c r="I86" s="49"/>
    </row>
    <row r="87" spans="5:9" x14ac:dyDescent="0.25">
      <c r="E87" s="46"/>
      <c r="F87" s="55" t="s">
        <v>72</v>
      </c>
      <c r="G87" s="53">
        <f>(G86-G89-40*G88)/1600</f>
        <v>36</v>
      </c>
      <c r="H87" s="54" t="str">
        <f>LOOKUP(G87,$E$93:$E$132,$F$93:$F$132)</f>
        <v xml:space="preserve"> </v>
      </c>
      <c r="I87" s="49"/>
    </row>
    <row r="88" spans="5:9" x14ac:dyDescent="0.25">
      <c r="E88" s="46"/>
      <c r="F88" s="55" t="s">
        <v>73</v>
      </c>
      <c r="G88" s="53">
        <f>MOD((G86-G89)/40,40)</f>
        <v>36</v>
      </c>
      <c r="H88" s="54" t="str">
        <f>LOOKUP(G88,$E$93:$E$132,$F$93:$F$132)</f>
        <v xml:space="preserve"> </v>
      </c>
      <c r="I88" s="49"/>
    </row>
    <row r="89" spans="5:9" x14ac:dyDescent="0.25">
      <c r="E89" s="46"/>
      <c r="F89" s="55" t="s">
        <v>74</v>
      </c>
      <c r="G89" s="53">
        <f>MOD(G86,40)</f>
        <v>36</v>
      </c>
      <c r="H89" s="54" t="str">
        <f>LOOKUP(G89,$E$93:$E$132,$F$93:$F$132)</f>
        <v xml:space="preserve"> </v>
      </c>
      <c r="I89" s="49"/>
    </row>
    <row r="90" spans="5:9" ht="15.75" thickBot="1" x14ac:dyDescent="0.3">
      <c r="E90" s="57"/>
      <c r="F90" s="58"/>
      <c r="G90" s="58"/>
      <c r="H90" s="58"/>
      <c r="I90" s="59"/>
    </row>
    <row r="91" spans="5:9" ht="15.75" thickTop="1" x14ac:dyDescent="0.25">
      <c r="E91" s="42"/>
      <c r="F91" s="43"/>
      <c r="G91" s="43"/>
      <c r="H91" s="43"/>
      <c r="I91" s="45"/>
    </row>
    <row r="92" spans="5:9" x14ac:dyDescent="0.25">
      <c r="E92" s="60" t="s">
        <v>43</v>
      </c>
      <c r="F92" s="61" t="s">
        <v>75</v>
      </c>
      <c r="G92" s="61" t="s">
        <v>107</v>
      </c>
      <c r="H92" s="61" t="s">
        <v>129</v>
      </c>
      <c r="I92" s="49"/>
    </row>
    <row r="93" spans="5:9" x14ac:dyDescent="0.25">
      <c r="E93" s="62">
        <v>0</v>
      </c>
      <c r="F93" s="61">
        <v>0</v>
      </c>
      <c r="G93" s="61" t="s">
        <v>126</v>
      </c>
      <c r="H93" s="61" t="s">
        <v>130</v>
      </c>
      <c r="I93" s="49"/>
    </row>
    <row r="94" spans="5:9" x14ac:dyDescent="0.25">
      <c r="E94" s="62">
        <v>1</v>
      </c>
      <c r="F94" s="61">
        <v>1</v>
      </c>
      <c r="G94" s="61" t="s">
        <v>108</v>
      </c>
      <c r="H94" s="61" t="s">
        <v>131</v>
      </c>
      <c r="I94" s="49"/>
    </row>
    <row r="95" spans="5:9" x14ac:dyDescent="0.25">
      <c r="E95" s="62">
        <v>2</v>
      </c>
      <c r="F95" s="61">
        <v>2</v>
      </c>
      <c r="G95" s="61" t="s">
        <v>109</v>
      </c>
      <c r="H95" s="61" t="s">
        <v>132</v>
      </c>
      <c r="I95" s="49"/>
    </row>
    <row r="96" spans="5:9" x14ac:dyDescent="0.25">
      <c r="E96" s="62">
        <v>3</v>
      </c>
      <c r="F96" s="61">
        <v>3</v>
      </c>
      <c r="G96" s="61" t="s">
        <v>110</v>
      </c>
      <c r="H96" s="61" t="s">
        <v>133</v>
      </c>
      <c r="I96" s="49"/>
    </row>
    <row r="97" spans="5:9" x14ac:dyDescent="0.25">
      <c r="E97" s="62">
        <v>4</v>
      </c>
      <c r="F97" s="61">
        <v>4</v>
      </c>
      <c r="G97" s="61" t="s">
        <v>111</v>
      </c>
      <c r="H97" s="61" t="s">
        <v>134</v>
      </c>
      <c r="I97" s="49"/>
    </row>
    <row r="98" spans="5:9" x14ac:dyDescent="0.25">
      <c r="E98" s="62">
        <v>5</v>
      </c>
      <c r="F98" s="61">
        <v>5</v>
      </c>
      <c r="G98" s="61" t="s">
        <v>112</v>
      </c>
      <c r="H98" s="61" t="s">
        <v>135</v>
      </c>
      <c r="I98" s="49"/>
    </row>
    <row r="99" spans="5:9" x14ac:dyDescent="0.25">
      <c r="E99" s="62">
        <v>6</v>
      </c>
      <c r="F99" s="61">
        <v>6</v>
      </c>
      <c r="G99" s="61" t="s">
        <v>113</v>
      </c>
      <c r="H99" s="61" t="s">
        <v>136</v>
      </c>
      <c r="I99" s="49"/>
    </row>
    <row r="100" spans="5:9" x14ac:dyDescent="0.25">
      <c r="E100" s="62">
        <v>7</v>
      </c>
      <c r="F100" s="61">
        <v>7</v>
      </c>
      <c r="G100" s="61" t="s">
        <v>114</v>
      </c>
      <c r="H100" s="61"/>
      <c r="I100" s="49"/>
    </row>
    <row r="101" spans="5:9" x14ac:dyDescent="0.25">
      <c r="E101" s="62">
        <v>8</v>
      </c>
      <c r="F101" s="61">
        <v>8</v>
      </c>
      <c r="G101" s="61"/>
      <c r="H101" s="61"/>
      <c r="I101" s="49"/>
    </row>
    <row r="102" spans="5:9" x14ac:dyDescent="0.25">
      <c r="E102" s="62">
        <v>9</v>
      </c>
      <c r="F102" s="61">
        <v>9</v>
      </c>
      <c r="G102" s="61" t="s">
        <v>115</v>
      </c>
      <c r="H102" s="61"/>
      <c r="I102" s="49"/>
    </row>
    <row r="103" spans="5:9" x14ac:dyDescent="0.25">
      <c r="E103" s="62">
        <v>10</v>
      </c>
      <c r="F103" s="61" t="s">
        <v>76</v>
      </c>
      <c r="G103" s="61" t="s">
        <v>116</v>
      </c>
      <c r="H103" s="61"/>
      <c r="I103" s="49"/>
    </row>
    <row r="104" spans="5:9" x14ac:dyDescent="0.25">
      <c r="E104" s="62">
        <v>11</v>
      </c>
      <c r="F104" s="61" t="s">
        <v>77</v>
      </c>
      <c r="G104" s="61" t="s">
        <v>117</v>
      </c>
      <c r="H104" s="61"/>
      <c r="I104" s="49"/>
    </row>
    <row r="105" spans="5:9" x14ac:dyDescent="0.25">
      <c r="E105" s="62">
        <v>12</v>
      </c>
      <c r="F105" s="61" t="s">
        <v>78</v>
      </c>
      <c r="G105" s="61" t="s">
        <v>118</v>
      </c>
      <c r="H105" s="61"/>
      <c r="I105" s="49"/>
    </row>
    <row r="106" spans="5:9" x14ac:dyDescent="0.25">
      <c r="E106" s="62">
        <v>13</v>
      </c>
      <c r="F106" s="61" t="s">
        <v>79</v>
      </c>
      <c r="G106" s="61"/>
      <c r="H106" s="61"/>
      <c r="I106" s="49"/>
    </row>
    <row r="107" spans="5:9" x14ac:dyDescent="0.25">
      <c r="E107" s="62">
        <v>14</v>
      </c>
      <c r="F107" s="61" t="s">
        <v>80</v>
      </c>
      <c r="G107" s="61" t="s">
        <v>119</v>
      </c>
      <c r="H107" s="61"/>
      <c r="I107" s="49"/>
    </row>
    <row r="108" spans="5:9" x14ac:dyDescent="0.25">
      <c r="E108" s="62">
        <v>15</v>
      </c>
      <c r="F108" s="61" t="s">
        <v>81</v>
      </c>
      <c r="G108" s="61" t="s">
        <v>120</v>
      </c>
      <c r="H108" s="61"/>
      <c r="I108" s="49"/>
    </row>
    <row r="109" spans="5:9" x14ac:dyDescent="0.25">
      <c r="E109" s="62">
        <v>16</v>
      </c>
      <c r="F109" s="61" t="s">
        <v>82</v>
      </c>
      <c r="G109" s="61"/>
      <c r="H109" s="61"/>
      <c r="I109" s="49"/>
    </row>
    <row r="110" spans="5:9" x14ac:dyDescent="0.25">
      <c r="E110" s="62">
        <v>17</v>
      </c>
      <c r="F110" s="61" t="s">
        <v>83</v>
      </c>
      <c r="G110" s="61" t="s">
        <v>121</v>
      </c>
      <c r="H110" s="61"/>
      <c r="I110" s="49"/>
    </row>
    <row r="111" spans="5:9" x14ac:dyDescent="0.25">
      <c r="E111" s="62">
        <v>18</v>
      </c>
      <c r="F111" s="61" t="s">
        <v>84</v>
      </c>
      <c r="G111" s="61" t="s">
        <v>122</v>
      </c>
      <c r="H111" s="61"/>
      <c r="I111" s="49"/>
    </row>
    <row r="112" spans="5:9" x14ac:dyDescent="0.25">
      <c r="E112" s="62">
        <v>19</v>
      </c>
      <c r="F112" s="61" t="s">
        <v>85</v>
      </c>
      <c r="G112" s="61" t="s">
        <v>123</v>
      </c>
      <c r="H112" s="61"/>
      <c r="I112" s="49"/>
    </row>
    <row r="113" spans="5:9" x14ac:dyDescent="0.25">
      <c r="E113" s="62">
        <v>20</v>
      </c>
      <c r="F113" s="61" t="s">
        <v>86</v>
      </c>
      <c r="G113" s="61" t="s">
        <v>124</v>
      </c>
      <c r="H113" s="61"/>
      <c r="I113" s="49"/>
    </row>
    <row r="114" spans="5:9" x14ac:dyDescent="0.25">
      <c r="E114" s="62">
        <v>21</v>
      </c>
      <c r="F114" s="61" t="s">
        <v>87</v>
      </c>
      <c r="G114" s="61" t="s">
        <v>125</v>
      </c>
      <c r="H114" s="61"/>
      <c r="I114" s="49"/>
    </row>
    <row r="115" spans="5:9" x14ac:dyDescent="0.25">
      <c r="E115" s="62">
        <v>22</v>
      </c>
      <c r="F115" s="61" t="s">
        <v>88</v>
      </c>
      <c r="G115" s="61"/>
      <c r="H115" s="61"/>
      <c r="I115" s="49"/>
    </row>
    <row r="116" spans="5:9" x14ac:dyDescent="0.25">
      <c r="E116" s="62">
        <v>23</v>
      </c>
      <c r="F116" s="61" t="s">
        <v>89</v>
      </c>
      <c r="G116" s="61"/>
      <c r="H116" s="61"/>
      <c r="I116" s="49"/>
    </row>
    <row r="117" spans="5:9" x14ac:dyDescent="0.25">
      <c r="E117" s="62">
        <v>24</v>
      </c>
      <c r="F117" s="61" t="s">
        <v>90</v>
      </c>
      <c r="G117" s="61"/>
      <c r="H117" s="61"/>
      <c r="I117" s="49"/>
    </row>
    <row r="118" spans="5:9" x14ac:dyDescent="0.25">
      <c r="E118" s="62">
        <v>25</v>
      </c>
      <c r="F118" s="61" t="s">
        <v>91</v>
      </c>
      <c r="G118" s="61"/>
      <c r="H118" s="61"/>
      <c r="I118" s="49"/>
    </row>
    <row r="119" spans="5:9" x14ac:dyDescent="0.25">
      <c r="E119" s="62">
        <v>26</v>
      </c>
      <c r="F119" s="61" t="s">
        <v>92</v>
      </c>
      <c r="G119" s="61"/>
      <c r="H119" s="61"/>
      <c r="I119" s="49"/>
    </row>
    <row r="120" spans="5:9" x14ac:dyDescent="0.25">
      <c r="E120" s="62">
        <v>27</v>
      </c>
      <c r="F120" s="61" t="s">
        <v>93</v>
      </c>
      <c r="G120" s="61"/>
      <c r="H120" s="61"/>
      <c r="I120" s="49"/>
    </row>
    <row r="121" spans="5:9" x14ac:dyDescent="0.25">
      <c r="E121" s="62">
        <v>28</v>
      </c>
      <c r="F121" s="61" t="s">
        <v>94</v>
      </c>
      <c r="G121" s="61"/>
      <c r="H121" s="61"/>
      <c r="I121" s="49"/>
    </row>
    <row r="122" spans="5:9" x14ac:dyDescent="0.25">
      <c r="E122" s="62">
        <v>29</v>
      </c>
      <c r="F122" s="61" t="s">
        <v>95</v>
      </c>
      <c r="G122" s="61"/>
      <c r="H122" s="61"/>
      <c r="I122" s="49"/>
    </row>
    <row r="123" spans="5:9" x14ac:dyDescent="0.25">
      <c r="E123" s="62">
        <v>30</v>
      </c>
      <c r="F123" s="61" t="s">
        <v>96</v>
      </c>
      <c r="G123" s="61"/>
      <c r="H123" s="61"/>
      <c r="I123" s="49"/>
    </row>
    <row r="124" spans="5:9" x14ac:dyDescent="0.25">
      <c r="E124" s="62">
        <v>31</v>
      </c>
      <c r="F124" s="61" t="s">
        <v>97</v>
      </c>
      <c r="G124" s="61"/>
      <c r="H124" s="61"/>
      <c r="I124" s="49"/>
    </row>
    <row r="125" spans="5:9" x14ac:dyDescent="0.25">
      <c r="E125" s="62">
        <v>32</v>
      </c>
      <c r="F125" s="61" t="s">
        <v>98</v>
      </c>
      <c r="G125" s="61"/>
      <c r="H125" s="61"/>
      <c r="I125" s="49"/>
    </row>
    <row r="126" spans="5:9" x14ac:dyDescent="0.25">
      <c r="E126" s="62">
        <v>33</v>
      </c>
      <c r="F126" s="61" t="s">
        <v>99</v>
      </c>
      <c r="G126" s="61"/>
      <c r="H126" s="61"/>
      <c r="I126" s="49"/>
    </row>
    <row r="127" spans="5:9" x14ac:dyDescent="0.25">
      <c r="E127" s="62">
        <v>34</v>
      </c>
      <c r="F127" s="61" t="s">
        <v>100</v>
      </c>
      <c r="G127" s="61"/>
      <c r="H127" s="61"/>
      <c r="I127" s="49"/>
    </row>
    <row r="128" spans="5:9" x14ac:dyDescent="0.25">
      <c r="E128" s="62">
        <v>35</v>
      </c>
      <c r="F128" s="61" t="s">
        <v>101</v>
      </c>
      <c r="G128" s="61"/>
      <c r="H128" s="61"/>
      <c r="I128" s="49"/>
    </row>
    <row r="129" spans="5:9" x14ac:dyDescent="0.25">
      <c r="E129" s="62">
        <v>36</v>
      </c>
      <c r="F129" s="61" t="s">
        <v>102</v>
      </c>
      <c r="G129" s="61"/>
      <c r="H129" s="61"/>
      <c r="I129" s="49"/>
    </row>
    <row r="130" spans="5:9" x14ac:dyDescent="0.25">
      <c r="E130" s="62">
        <v>37</v>
      </c>
      <c r="F130" s="70" t="s">
        <v>173</v>
      </c>
      <c r="G130" s="61"/>
      <c r="H130" s="61"/>
      <c r="I130" s="49"/>
    </row>
    <row r="131" spans="5:9" x14ac:dyDescent="0.25">
      <c r="E131" s="62">
        <v>38</v>
      </c>
      <c r="F131" s="61"/>
      <c r="G131" s="61"/>
      <c r="H131" s="61"/>
      <c r="I131" s="49"/>
    </row>
    <row r="132" spans="5:9" x14ac:dyDescent="0.25">
      <c r="E132" s="62">
        <v>39</v>
      </c>
      <c r="F132" s="61"/>
      <c r="G132" s="61"/>
      <c r="H132" s="61"/>
      <c r="I132" s="49"/>
    </row>
    <row r="133" spans="5:9" ht="15.75" thickBot="1" x14ac:dyDescent="0.3">
      <c r="E133" s="57"/>
      <c r="F133" s="58"/>
      <c r="G133" s="58"/>
      <c r="H133" s="58"/>
      <c r="I133" s="59"/>
    </row>
    <row r="134" spans="5:9" ht="15.75" thickTop="1" x14ac:dyDescent="0.25"/>
  </sheetData>
  <mergeCells count="69">
    <mergeCell ref="L17:R17"/>
    <mergeCell ref="A8:G8"/>
    <mergeCell ref="L11:P11"/>
    <mergeCell ref="Q11:S11"/>
    <mergeCell ref="L12:S14"/>
    <mergeCell ref="L15:S16"/>
    <mergeCell ref="L30:S31"/>
    <mergeCell ref="L18:S19"/>
    <mergeCell ref="L20:R20"/>
    <mergeCell ref="L21:S21"/>
    <mergeCell ref="L22:O22"/>
    <mergeCell ref="P22:S22"/>
    <mergeCell ref="L23:M23"/>
    <mergeCell ref="O23:S23"/>
    <mergeCell ref="L24:S25"/>
    <mergeCell ref="M26:S26"/>
    <mergeCell ref="L27:O27"/>
    <mergeCell ref="Q27:S27"/>
    <mergeCell ref="L28:S29"/>
    <mergeCell ref="L32:S33"/>
    <mergeCell ref="L34:N34"/>
    <mergeCell ref="O34:Q34"/>
    <mergeCell ref="R34:S34"/>
    <mergeCell ref="L35:Q35"/>
    <mergeCell ref="R35:S35"/>
    <mergeCell ref="L36:O36"/>
    <mergeCell ref="P36:R36"/>
    <mergeCell ref="L37:N37"/>
    <mergeCell ref="O37:Q37"/>
    <mergeCell ref="L38:M38"/>
    <mergeCell ref="O38:S38"/>
    <mergeCell ref="L39:S39"/>
    <mergeCell ref="L40:S40"/>
    <mergeCell ref="L41:O41"/>
    <mergeCell ref="P41:S41"/>
    <mergeCell ref="L42:S44"/>
    <mergeCell ref="V23:W23"/>
    <mergeCell ref="Y23:AC23"/>
    <mergeCell ref="AA11:AC11"/>
    <mergeCell ref="V12:AC14"/>
    <mergeCell ref="V15:AC16"/>
    <mergeCell ref="V17:AB17"/>
    <mergeCell ref="V18:AC19"/>
    <mergeCell ref="V20:AB20"/>
    <mergeCell ref="V11:Z11"/>
    <mergeCell ref="V21:AC21"/>
    <mergeCell ref="V22:Y22"/>
    <mergeCell ref="Z22:AC22"/>
    <mergeCell ref="V24:AC25"/>
    <mergeCell ref="W26:AC26"/>
    <mergeCell ref="V27:Y27"/>
    <mergeCell ref="AA27:AC27"/>
    <mergeCell ref="V28:AC29"/>
    <mergeCell ref="V36:Y36"/>
    <mergeCell ref="Z36:AB36"/>
    <mergeCell ref="V30:AC31"/>
    <mergeCell ref="V32:AC33"/>
    <mergeCell ref="V34:X34"/>
    <mergeCell ref="Y34:AA34"/>
    <mergeCell ref="AB34:AC34"/>
    <mergeCell ref="V35:AA35"/>
    <mergeCell ref="AB35:AC35"/>
    <mergeCell ref="V40:AC40"/>
    <mergeCell ref="V41:Y41"/>
    <mergeCell ref="Z41:AC41"/>
    <mergeCell ref="V42:AC44"/>
    <mergeCell ref="V37:W37"/>
    <mergeCell ref="X37:Z37"/>
    <mergeCell ref="V38:AC39"/>
  </mergeCells>
  <hyperlinks>
    <hyperlink ref="A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UAT 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Tschohl</dc:creator>
  <cp:lastModifiedBy>Keith Tschohl</cp:lastModifiedBy>
  <dcterms:created xsi:type="dcterms:W3CDTF">2017-01-27T02:21:21Z</dcterms:created>
  <dcterms:modified xsi:type="dcterms:W3CDTF">2017-01-28T06:57:55Z</dcterms:modified>
</cp:coreProperties>
</file>