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mp\Macaca-population-trend\result\"/>
    </mc:Choice>
  </mc:AlternateContent>
  <bookViews>
    <workbookView xWindow="240" yWindow="12" windowWidth="16092" windowHeight="9660" firstSheet="4" activeTab="8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U16" i="9" l="1"/>
  <c r="U28" i="9" s="1"/>
  <c r="U19" i="9" l="1"/>
  <c r="Z15" i="9"/>
  <c r="Z16" i="9"/>
  <c r="Z17" i="9"/>
  <c r="Z14" i="9"/>
  <c r="Y15" i="9"/>
  <c r="Y16" i="9"/>
  <c r="Y17" i="9"/>
  <c r="Y14" i="9"/>
  <c r="X15" i="9"/>
  <c r="X16" i="9"/>
  <c r="X17" i="9"/>
  <c r="X14" i="9"/>
  <c r="W15" i="9"/>
  <c r="W16" i="9"/>
  <c r="W17" i="9"/>
  <c r="W14" i="9"/>
  <c r="V15" i="9"/>
  <c r="V16" i="9"/>
  <c r="V17" i="9"/>
  <c r="V14" i="9"/>
  <c r="U15" i="9"/>
  <c r="U17" i="9"/>
  <c r="U14" i="9"/>
  <c r="U13" i="9"/>
  <c r="O2" i="9" l="1"/>
  <c r="O3" i="9"/>
  <c r="O4" i="9"/>
  <c r="O5" i="9"/>
  <c r="O6" i="9"/>
  <c r="O7" i="9"/>
  <c r="O8" i="9"/>
  <c r="O9" i="9"/>
  <c r="O10" i="9"/>
  <c r="O11" i="9"/>
  <c r="O12" i="9"/>
  <c r="O13" i="9"/>
  <c r="O31" i="9"/>
  <c r="O32" i="9"/>
  <c r="O33" i="9"/>
  <c r="O34" i="9"/>
  <c r="O35" i="9"/>
  <c r="O36" i="9"/>
  <c r="O37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X13" i="9"/>
  <c r="AJ17" i="3" l="1"/>
  <c r="AF23" i="3" l="1"/>
  <c r="AJ23" i="3" s="1"/>
  <c r="AJ18" i="3"/>
  <c r="AJ19" i="3"/>
  <c r="AJ20" i="3"/>
  <c r="AJ21" i="3"/>
  <c r="AJ22" i="3"/>
  <c r="H10" i="2" l="1"/>
  <c r="H11" i="2"/>
  <c r="H12" i="2"/>
  <c r="H13" i="2"/>
  <c r="H9" i="2"/>
  <c r="C13" i="2"/>
  <c r="C12" i="2"/>
  <c r="C11" i="2"/>
  <c r="C10" i="2"/>
  <c r="C9" i="2"/>
  <c r="F10" i="2"/>
  <c r="F11" i="2"/>
  <c r="F12" i="2"/>
  <c r="F13" i="2"/>
  <c r="F9" i="2"/>
  <c r="Y24" i="3"/>
  <c r="Y23" i="3"/>
  <c r="Y22" i="3"/>
  <c r="Y21" i="3"/>
  <c r="Y20" i="3"/>
  <c r="Y19" i="3"/>
  <c r="Y18" i="3"/>
  <c r="Y10" i="3"/>
  <c r="Y11" i="3"/>
  <c r="Y12" i="3"/>
  <c r="Y13" i="3"/>
  <c r="Y14" i="3"/>
  <c r="Y15" i="3"/>
  <c r="Z10" i="3"/>
  <c r="Z11" i="3"/>
  <c r="Z12" i="3"/>
  <c r="Z13" i="3"/>
  <c r="Z14" i="3"/>
  <c r="Z15" i="3"/>
  <c r="Z9" i="3"/>
  <c r="Y9" i="3"/>
  <c r="W19" i="3"/>
  <c r="W20" i="3"/>
  <c r="W21" i="3"/>
  <c r="W22" i="3"/>
  <c r="W23" i="3"/>
  <c r="W24" i="3"/>
  <c r="W18" i="3"/>
  <c r="U24" i="3"/>
  <c r="U23" i="3"/>
  <c r="U22" i="3"/>
  <c r="U21" i="3"/>
  <c r="U20" i="3"/>
  <c r="U19" i="3"/>
  <c r="U18" i="3"/>
  <c r="S19" i="3"/>
  <c r="S20" i="3"/>
  <c r="S21" i="3"/>
  <c r="S22" i="3"/>
  <c r="S23" i="3"/>
  <c r="S24" i="3"/>
  <c r="S18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9" i="3"/>
  <c r="W9" i="3"/>
  <c r="V9" i="3"/>
  <c r="U9" i="3"/>
  <c r="T9" i="3"/>
  <c r="S9" i="3"/>
  <c r="D34" i="9"/>
  <c r="AA14" i="9"/>
  <c r="AA15" i="9"/>
  <c r="AA16" i="9"/>
  <c r="AA17" i="9"/>
  <c r="AA18" i="9"/>
  <c r="AA19" i="9"/>
  <c r="AA20" i="9"/>
  <c r="W26" i="9"/>
  <c r="U26" i="9" l="1"/>
  <c r="U27" i="9"/>
  <c r="W27" i="9"/>
  <c r="W28" i="9"/>
  <c r="U29" i="9"/>
  <c r="W29" i="9"/>
  <c r="U18" i="9"/>
  <c r="V18" i="9"/>
  <c r="U30" i="9" s="1"/>
  <c r="W18" i="9"/>
  <c r="X18" i="9"/>
  <c r="W30" i="9" s="1"/>
  <c r="Y18" i="9"/>
  <c r="Z18" i="9"/>
  <c r="V19" i="9"/>
  <c r="U31" i="9" s="1"/>
  <c r="W19" i="9"/>
  <c r="X19" i="9"/>
  <c r="W31" i="9" s="1"/>
  <c r="Y19" i="9"/>
  <c r="Z19" i="9"/>
  <c r="U20" i="9"/>
  <c r="V20" i="9"/>
  <c r="U32" i="9" s="1"/>
  <c r="W20" i="9"/>
  <c r="X20" i="9"/>
  <c r="W32" i="9" s="1"/>
  <c r="Y20" i="9"/>
  <c r="Z20" i="9"/>
  <c r="Z13" i="9"/>
  <c r="Y13" i="9"/>
  <c r="AA13" i="9" s="1"/>
  <c r="W13" i="9"/>
  <c r="W25" i="9" s="1"/>
  <c r="V13" i="9"/>
  <c r="U25" i="9" s="1"/>
  <c r="N29" i="9"/>
  <c r="D29" i="9"/>
  <c r="D31" i="9"/>
  <c r="N35" i="9"/>
  <c r="N36" i="9"/>
  <c r="N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1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D20" i="3"/>
  <c r="E20" i="3"/>
  <c r="F20" i="3"/>
  <c r="G20" i="3"/>
  <c r="H20" i="3"/>
  <c r="I20" i="3"/>
  <c r="J20" i="3"/>
  <c r="K20" i="3"/>
  <c r="L20" i="3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K21" i="3"/>
  <c r="K22" i="3" s="1"/>
  <c r="L21" i="3"/>
  <c r="L22" i="3" s="1"/>
  <c r="C21" i="3"/>
  <c r="M21" i="3" s="1"/>
  <c r="C20" i="3"/>
  <c r="N20" i="3" s="1"/>
  <c r="Y32" i="9" l="1"/>
  <c r="AB20" i="9"/>
  <c r="AA32" i="9" s="1"/>
  <c r="Y28" i="9"/>
  <c r="AB16" i="9"/>
  <c r="AA28" i="9" s="1"/>
  <c r="Y31" i="9"/>
  <c r="AB19" i="9"/>
  <c r="AA31" i="9" s="1"/>
  <c r="AB17" i="9"/>
  <c r="AA29" i="9" s="1"/>
  <c r="Y29" i="9"/>
  <c r="AB15" i="9"/>
  <c r="AA27" i="9" s="1"/>
  <c r="Y27" i="9"/>
  <c r="AB13" i="9"/>
  <c r="AA25" i="9" s="1"/>
  <c r="Y25" i="9"/>
  <c r="Y30" i="9"/>
  <c r="AB18" i="9"/>
  <c r="AA30" i="9" s="1"/>
  <c r="Y26" i="9"/>
  <c r="AB14" i="9"/>
  <c r="AA26" i="9" s="1"/>
  <c r="M20" i="3"/>
  <c r="N21" i="3"/>
  <c r="C22" i="3"/>
  <c r="N22" i="3" l="1"/>
  <c r="M22" i="3"/>
</calcChain>
</file>

<file path=xl/sharedStrings.xml><?xml version="1.0" encoding="utf-8"?>
<sst xmlns="http://schemas.openxmlformats.org/spreadsheetml/2006/main" count="510" uniqueCount="96">
  <si>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</si>
  <si>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</si>
  <si>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</si>
  <si>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</si>
  <si>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</si>
  <si>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</si>
  <si>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</si>
  <si>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</si>
  <si>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</si>
  <si>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</si>
  <si>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</si>
  <si>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</si>
  <si>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</si>
  <si>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</si>
  <si>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</si>
  <si>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</si>
  <si>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</si>
  <si>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</si>
  <si>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</si>
  <si>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</si>
  <si>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</si>
  <si>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</si>
  <si>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</si>
  <si>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</si>
  <si>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</si>
  <si>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</si>
  <si>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</si>
  <si>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</si>
  <si>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</si>
  <si>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</si>
  <si>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</si>
  <si>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</si>
  <si>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</si>
  <si>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</si>
  <si>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</si>
  <si>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</si>
  <si>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</si>
  <si>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</si>
  <si>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</si>
  <si>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</si>
  <si>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</si>
  <si>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</si>
  <si>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</si>
  <si>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</si>
  <si>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</si>
  <si>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</si>
  <si>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</si>
  <si>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</si>
  <si>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</si>
  <si>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</si>
  <si>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</si>
  <si>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</si>
  <si>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</si>
  <si>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</si>
  <si>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</si>
  <si>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</si>
  <si>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</si>
  <si>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</si>
  <si>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</si>
  <si>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</si>
  <si>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</si>
  <si>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</si>
  <si>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</si>
  <si>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</si>
  <si>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</si>
  <si>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</si>
  <si>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</si>
  <si>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</si>
  <si>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</si>
  <si>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</si>
  <si>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</si>
  <si>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</si>
  <si>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</si>
  <si>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</si>
  <si>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</si>
  <si>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</si>
  <si>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</si>
  <si>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</si>
  <si>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</si>
  <si>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</si>
  <si>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</si>
  <si>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</si>
  <si>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</si>
  <si>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</si>
  <si>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</si>
  <si>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</si>
  <si>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</si>
  <si>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</si>
  <si>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</si>
  <si>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</si>
  <si>
    <t>TW</t>
  </si>
  <si>
    <t>area</t>
  </si>
  <si>
    <t>mean</t>
  </si>
  <si>
    <t>混淆林</t>
    <phoneticPr fontId="2" type="noConversion"/>
  </si>
  <si>
    <t>竹林</t>
    <phoneticPr fontId="2" type="noConversion"/>
  </si>
  <si>
    <t>森林&gt;=50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</si>
</sst>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0.000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/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R22" sqref="R22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1500.5 ± 36.5</v>
      </c>
      <c r="H9" t="str">
        <f>ROUND(H2,3)&amp;" ± "&amp;ROUND(I2,3)</f>
        <v>0.014 ± 0.001</v>
      </c>
    </row>
    <row r="10" spans="1:9" x14ac:dyDescent="0.3">
      <c r="C10" t="str">
        <f t="shared" ref="C10" si="0">ROUND(C3,1)&amp;" ± "&amp;ROUND(D3,1)</f>
        <v>18 ± 4</v>
      </c>
      <c r="F10" t="str">
        <f t="shared" ref="F10:F13" si="1">ROUND(F3,1)&amp;" ± "&amp;ROUND(G3,1)</f>
        <v>1424 ± 63</v>
      </c>
      <c r="H10" t="str">
        <f t="shared" ref="H10:H13" si="2">ROUND(H3,3)&amp;" ± "&amp;ROUND(I3,3)</f>
        <v>0.013 ± 0.003</v>
      </c>
    </row>
    <row r="11" spans="1:9" x14ac:dyDescent="0.3">
      <c r="C11" t="str">
        <f t="shared" ref="C11" si="3">ROUND(C4,1)&amp;" ± "&amp;ROUND(D4,1)</f>
        <v>16 ± 1</v>
      </c>
      <c r="F11" t="str">
        <f t="shared" si="1"/>
        <v>1332 ± 30</v>
      </c>
      <c r="H11" t="str">
        <f t="shared" si="2"/>
        <v>0.012 ± 0.001</v>
      </c>
    </row>
    <row r="12" spans="1:9" x14ac:dyDescent="0.3">
      <c r="C12" t="str">
        <f t="shared" ref="C12" si="4">ROUND(C5,1)&amp;" ± "&amp;ROUND(D5,1)</f>
        <v>29 ± 2</v>
      </c>
      <c r="F12" t="str">
        <f t="shared" si="1"/>
        <v>1453.5 ± 62.5</v>
      </c>
      <c r="H12" t="str">
        <f t="shared" si="2"/>
        <v>0.02 ± 0.002</v>
      </c>
    </row>
    <row r="13" spans="1:9" x14ac:dyDescent="0.3">
      <c r="C13" t="str">
        <f t="shared" ref="C13" si="5">ROUND(C6,1)&amp;" ± "&amp;ROUND(D6,1)</f>
        <v>26.5 ± 2.5</v>
      </c>
      <c r="F13" t="str">
        <f t="shared" si="1"/>
        <v>1365 ± 31</v>
      </c>
      <c r="H13" t="str">
        <f t="shared" si="2"/>
        <v>0.019 ± 0.001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P7" workbookViewId="0">
      <selection activeCell="AF9" sqref="AF9"/>
    </sheetView>
  </sheetViews>
  <sheetFormatPr defaultRowHeight="15" x14ac:dyDescent="0.3"/>
  <cols>
    <col min="32" max="32" width="11.75" customWidth="1"/>
  </cols>
  <sheetData>
    <row r="1" spans="1:34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34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34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34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34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34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34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  <c r="S7" t="s">
        <v>2</v>
      </c>
      <c r="T7" t="s">
        <v>2</v>
      </c>
      <c r="U7" t="s">
        <v>3</v>
      </c>
      <c r="V7" t="s">
        <v>3</v>
      </c>
      <c r="W7" t="s">
        <v>36</v>
      </c>
      <c r="X7" t="s">
        <v>36</v>
      </c>
    </row>
    <row r="8" spans="1:34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  <c r="S8" s="1" t="s">
        <v>83</v>
      </c>
      <c r="T8" s="1" t="s">
        <v>84</v>
      </c>
      <c r="U8" s="1" t="s">
        <v>83</v>
      </c>
      <c r="V8" s="1" t="s">
        <v>84</v>
      </c>
      <c r="W8" s="1" t="s">
        <v>83</v>
      </c>
      <c r="X8" s="1" t="s">
        <v>84</v>
      </c>
    </row>
    <row r="9" spans="1:34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  <c r="R9" t="s">
        <v>40</v>
      </c>
      <c r="S9">
        <f>SUMIFS($M$2:$M$22,$B$2:$B$22,S$7,$A$2:$A$22,$R9)</f>
        <v>480.4</v>
      </c>
      <c r="T9">
        <f>SUMIFS($N$2:$N$22,$B$2:$B$22,T$7,$A$2:$A$22,$R9)</f>
        <v>21.898493098841296</v>
      </c>
      <c r="U9">
        <f>SUMIFS($M$2:$M$22,$B$2:$B$22,U$7,$A$2:$A$22,$R9)</f>
        <v>1.3</v>
      </c>
      <c r="V9">
        <f>SUMIFS($N$2:$N$22,$B$2:$B$22,V$7,$A$2:$A$22,$R9)</f>
        <v>0.44833023542919781</v>
      </c>
      <c r="W9">
        <f>SUMIFS($M$2:$M$22,$B$2:$B$22,W$7,$A$2:$A$22,$R9)</f>
        <v>2.604023603094135E-3</v>
      </c>
      <c r="X9">
        <f>SUMIFS($N$2:$N$22,$B$2:$B$22,X$7,$A$2:$A$22,$R9)</f>
        <v>8.769908286270278E-4</v>
      </c>
      <c r="Y9">
        <f>W9/0.1/0.1/PI()</f>
        <v>8.2888645672079847E-2</v>
      </c>
      <c r="Z9">
        <f>X9/0.1/0.1/PI()</f>
        <v>2.791548508444975E-2</v>
      </c>
    </row>
    <row r="10" spans="1:34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  <c r="R10" t="s">
        <v>35</v>
      </c>
      <c r="S10">
        <f t="shared" ref="S10:S15" si="2">SUMIFS($M$2:$M$22,$B$2:$B$22,S$7,$A$2:$A$22,$R10)</f>
        <v>455.7</v>
      </c>
      <c r="T10">
        <f t="shared" ref="T10:T15" si="3">SUMIFS($N$2:$N$22,$B$2:$B$22,T$7,$A$2:$A$22,$R10)</f>
        <v>8.9107238763189152</v>
      </c>
      <c r="U10">
        <f t="shared" ref="U10:U15" si="4">SUMIFS($M$2:$M$22,$B$2:$B$22,U$7,$A$2:$A$22,$R10)</f>
        <v>4</v>
      </c>
      <c r="V10">
        <f t="shared" ref="V10:V15" si="5">SUMIFS($N$2:$N$22,$B$2:$B$22,V$7,$A$2:$A$22,$R10)</f>
        <v>0.56568542494923801</v>
      </c>
      <c r="W10">
        <f t="shared" ref="W10:W15" si="6">SUMIFS($M$2:$M$22,$B$2:$B$22,W$7,$A$2:$A$22,$R10)</f>
        <v>8.7079792777263795E-3</v>
      </c>
      <c r="X10">
        <f t="shared" ref="X10:X15" si="7">SUMIFS($N$2:$N$22,$B$2:$B$22,X$7,$A$2:$A$22,$R10)</f>
        <v>1.1634641680267597E-3</v>
      </c>
      <c r="Y10">
        <f t="shared" ref="Y10:Y15" si="8">W10/0.1/0.1/PI()</f>
        <v>0.2771835892783891</v>
      </c>
      <c r="Z10">
        <f t="shared" ref="Z10:Z15" si="9">X10/0.1/0.1/PI()</f>
        <v>3.7034214690351661E-2</v>
      </c>
    </row>
    <row r="11" spans="1:34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  <c r="R11" t="s">
        <v>37</v>
      </c>
      <c r="S11">
        <f t="shared" si="2"/>
        <v>150.1</v>
      </c>
      <c r="T11">
        <f t="shared" si="3"/>
        <v>5.4008332690428427</v>
      </c>
      <c r="U11">
        <f t="shared" si="4"/>
        <v>4.5999999999999996</v>
      </c>
      <c r="V11">
        <f t="shared" si="5"/>
        <v>0.56920997883030822</v>
      </c>
      <c r="W11">
        <f t="shared" si="6"/>
        <v>3.1642921345144973E-2</v>
      </c>
      <c r="X11">
        <f t="shared" si="7"/>
        <v>4.5772802169899447E-3</v>
      </c>
      <c r="Y11">
        <f t="shared" si="8"/>
        <v>1.0072254691895737</v>
      </c>
      <c r="Z11">
        <f t="shared" si="9"/>
        <v>0.14569935449013857</v>
      </c>
    </row>
    <row r="12" spans="1:34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  <c r="R12" t="s">
        <v>41</v>
      </c>
      <c r="S12">
        <f t="shared" si="2"/>
        <v>116.4</v>
      </c>
      <c r="T12">
        <f t="shared" si="3"/>
        <v>3.0731091747609613</v>
      </c>
      <c r="U12">
        <f t="shared" si="4"/>
        <v>3</v>
      </c>
      <c r="V12">
        <f t="shared" si="5"/>
        <v>0.42426406871192851</v>
      </c>
      <c r="W12">
        <f t="shared" si="6"/>
        <v>2.6514063629409473E-2</v>
      </c>
      <c r="X12">
        <f t="shared" si="7"/>
        <v>4.1351706882526915E-3</v>
      </c>
      <c r="Y12">
        <f t="shared" si="8"/>
        <v>0.8439688576147113</v>
      </c>
      <c r="Z12">
        <f t="shared" si="9"/>
        <v>0.13162657111282616</v>
      </c>
    </row>
    <row r="13" spans="1:34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  <c r="R13" t="s">
        <v>38</v>
      </c>
      <c r="S13">
        <f t="shared" si="2"/>
        <v>148.9</v>
      </c>
      <c r="T13">
        <f t="shared" si="3"/>
        <v>3.2169861672068158</v>
      </c>
      <c r="U13">
        <f t="shared" si="4"/>
        <v>6.3</v>
      </c>
      <c r="V13">
        <f t="shared" si="5"/>
        <v>0.72180329730474346</v>
      </c>
      <c r="W13">
        <f t="shared" si="6"/>
        <v>4.2808111949454233E-2</v>
      </c>
      <c r="X13">
        <f t="shared" si="7"/>
        <v>5.4050029731660494E-3</v>
      </c>
      <c r="Y13">
        <f t="shared" si="8"/>
        <v>1.3626245242373745</v>
      </c>
      <c r="Z13">
        <f t="shared" si="9"/>
        <v>0.17204658812115353</v>
      </c>
    </row>
    <row r="14" spans="1:34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  <c r="R14" t="s">
        <v>39</v>
      </c>
      <c r="S14">
        <f t="shared" si="2"/>
        <v>63.5</v>
      </c>
      <c r="T14">
        <f t="shared" si="3"/>
        <v>3.1662280397975127</v>
      </c>
      <c r="U14">
        <f t="shared" si="4"/>
        <v>3</v>
      </c>
      <c r="V14">
        <f t="shared" si="5"/>
        <v>0.9797958971132712</v>
      </c>
      <c r="W14">
        <f t="shared" si="6"/>
        <v>4.1677702355668464E-2</v>
      </c>
      <c r="X14">
        <f t="shared" si="7"/>
        <v>1.2872754306953798E-2</v>
      </c>
      <c r="Y14">
        <f t="shared" si="8"/>
        <v>1.3266424693234733</v>
      </c>
      <c r="Z14">
        <f t="shared" si="9"/>
        <v>0.40975249583183637</v>
      </c>
    </row>
    <row r="15" spans="1:34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  <c r="R15" t="s">
        <v>90</v>
      </c>
      <c r="S15">
        <f t="shared" si="2"/>
        <v>1415</v>
      </c>
      <c r="T15">
        <f t="shared" si="3"/>
        <v>24.220239470327289</v>
      </c>
      <c r="U15">
        <f t="shared" si="4"/>
        <v>22.2</v>
      </c>
      <c r="V15">
        <f t="shared" si="5"/>
        <v>1.7251086922278258</v>
      </c>
      <c r="W15">
        <f t="shared" si="6"/>
        <v>1.5720066292514281E-2</v>
      </c>
      <c r="X15">
        <f t="shared" si="7"/>
        <v>1.2332392465286852E-3</v>
      </c>
      <c r="Y15">
        <f t="shared" si="8"/>
        <v>0.50038525123718647</v>
      </c>
      <c r="Z15">
        <f t="shared" si="9"/>
        <v>3.9255224419992955E-2</v>
      </c>
    </row>
    <row r="16" spans="1:34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  <c r="AE16" t="s">
        <v>23</v>
      </c>
      <c r="AF16" t="s">
        <v>91</v>
      </c>
      <c r="AH16" t="s">
        <v>92</v>
      </c>
    </row>
    <row r="17" spans="1:36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  <c r="AE17" t="s">
        <v>40</v>
      </c>
      <c r="AF17">
        <v>6167.5657119999996</v>
      </c>
      <c r="AH17">
        <v>480.4</v>
      </c>
      <c r="AJ17" s="15">
        <f>AH17*0.1*0.1*PI()/AF17</f>
        <v>2.4470288299451794E-3</v>
      </c>
    </row>
    <row r="18" spans="1:3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  <c r="R18" t="s">
        <v>40</v>
      </c>
      <c r="S18" t="str">
        <f>ROUND(S9,1)&amp;" ± "&amp;ROUND(T9,1)</f>
        <v>480.4 ± 21.9</v>
      </c>
      <c r="U18" t="str">
        <f>ROUND(U9,1)&amp;" ± "&amp;ROUND(V9,1)</f>
        <v>1.3 ± 0.4</v>
      </c>
      <c r="W18" t="str">
        <f>ROUND(W9,3)&amp;" ± "&amp;ROUND(X9,3)</f>
        <v>0.003 ± 0.001</v>
      </c>
      <c r="Y18" t="str">
        <f>ROUND(Y9,3)&amp;" ± "&amp;ROUND(Z9,3)</f>
        <v>0.083 ± 0.028</v>
      </c>
      <c r="AE18" t="s">
        <v>35</v>
      </c>
      <c r="AF18">
        <v>4177.9869639999997</v>
      </c>
      <c r="AH18">
        <v>455.7</v>
      </c>
      <c r="AJ18" s="15">
        <f t="shared" ref="AJ18:AJ23" si="10">AH18*0.1*0.1*PI()/AF18</f>
        <v>3.4265874560561911E-3</v>
      </c>
    </row>
    <row r="19" spans="1:36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  <c r="R19" t="s">
        <v>35</v>
      </c>
      <c r="S19" t="str">
        <f t="shared" ref="S19:U24" si="11">ROUND(S10,1)&amp;" ± "&amp;ROUND(T10,1)</f>
        <v>455.7 ± 8.9</v>
      </c>
      <c r="U19" t="str">
        <f t="shared" si="11"/>
        <v>4 ± 0.6</v>
      </c>
      <c r="W19" t="str">
        <f t="shared" ref="W19:Y24" si="12">ROUND(W10,3)&amp;" ± "&amp;ROUND(X10,3)</f>
        <v>0.009 ± 0.001</v>
      </c>
      <c r="Y19" t="str">
        <f t="shared" si="12"/>
        <v>0.277 ± 0.037</v>
      </c>
      <c r="AE19" t="s">
        <v>37</v>
      </c>
      <c r="AF19">
        <v>1424.349935</v>
      </c>
      <c r="AH19">
        <v>150.1</v>
      </c>
      <c r="AJ19" s="15">
        <f t="shared" si="10"/>
        <v>3.3106545359152069E-3</v>
      </c>
    </row>
    <row r="20" spans="1:36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13">SUMIF($B$2:$B$19,$B20,D$2:D$19)</f>
        <v>1464</v>
      </c>
      <c r="E20">
        <f t="shared" si="13"/>
        <v>1487</v>
      </c>
      <c r="F20">
        <f t="shared" si="13"/>
        <v>1361</v>
      </c>
      <c r="G20">
        <f t="shared" si="13"/>
        <v>1362</v>
      </c>
      <c r="H20">
        <f t="shared" si="13"/>
        <v>1302</v>
      </c>
      <c r="I20">
        <f t="shared" si="13"/>
        <v>1516</v>
      </c>
      <c r="J20">
        <f t="shared" si="13"/>
        <v>1391</v>
      </c>
      <c r="K20">
        <f t="shared" si="13"/>
        <v>1396</v>
      </c>
      <c r="L20">
        <f t="shared" si="13"/>
        <v>1334</v>
      </c>
      <c r="M20">
        <f t="shared" si="0"/>
        <v>1415</v>
      </c>
      <c r="N20" s="2">
        <f t="shared" si="1"/>
        <v>24.220239470327289</v>
      </c>
      <c r="R20" t="s">
        <v>37</v>
      </c>
      <c r="S20" t="str">
        <f t="shared" si="11"/>
        <v>150.1 ± 5.4</v>
      </c>
      <c r="U20" t="str">
        <f t="shared" si="11"/>
        <v>4.6 ± 0.6</v>
      </c>
      <c r="W20" t="str">
        <f t="shared" si="12"/>
        <v>0.032 ± 0.005</v>
      </c>
      <c r="Y20" t="str">
        <f t="shared" si="12"/>
        <v>1.007 ± 0.146</v>
      </c>
      <c r="AE20" t="s">
        <v>41</v>
      </c>
      <c r="AF20">
        <v>3236.5496349999999</v>
      </c>
      <c r="AH20">
        <v>116.4</v>
      </c>
      <c r="AJ20" s="15">
        <f t="shared" si="10"/>
        <v>1.1298494573461159E-3</v>
      </c>
    </row>
    <row r="21" spans="1:36" x14ac:dyDescent="0.3">
      <c r="A21" t="s">
        <v>85</v>
      </c>
      <c r="B21" t="s">
        <v>3</v>
      </c>
      <c r="C21">
        <f>SUMIF($B$2:$B$19,$B21,C$2:C$19)</f>
        <v>21</v>
      </c>
      <c r="D21">
        <f t="shared" si="13"/>
        <v>22</v>
      </c>
      <c r="E21">
        <f t="shared" si="13"/>
        <v>14</v>
      </c>
      <c r="F21">
        <f t="shared" si="13"/>
        <v>22</v>
      </c>
      <c r="G21">
        <f t="shared" si="13"/>
        <v>15</v>
      </c>
      <c r="H21">
        <f t="shared" si="13"/>
        <v>17</v>
      </c>
      <c r="I21">
        <f t="shared" si="13"/>
        <v>27</v>
      </c>
      <c r="J21">
        <f t="shared" si="13"/>
        <v>31</v>
      </c>
      <c r="K21">
        <f t="shared" si="13"/>
        <v>29</v>
      </c>
      <c r="L21">
        <f t="shared" si="13"/>
        <v>24</v>
      </c>
      <c r="M21">
        <f t="shared" si="0"/>
        <v>22.2</v>
      </c>
      <c r="N21" s="2">
        <f t="shared" si="1"/>
        <v>1.7251086922278258</v>
      </c>
      <c r="R21" t="s">
        <v>41</v>
      </c>
      <c r="S21" t="str">
        <f t="shared" si="11"/>
        <v>116.4 ± 3.1</v>
      </c>
      <c r="U21" t="str">
        <f t="shared" si="11"/>
        <v>3 ± 0.4</v>
      </c>
      <c r="W21" t="str">
        <f t="shared" si="12"/>
        <v>0.027 ± 0.004</v>
      </c>
      <c r="Y21" t="str">
        <f t="shared" si="12"/>
        <v>0.844 ± 0.132</v>
      </c>
      <c r="AE21" t="s">
        <v>38</v>
      </c>
      <c r="AF21">
        <v>3674.9536549999998</v>
      </c>
      <c r="AH21">
        <v>148.9</v>
      </c>
      <c r="AJ21" s="15">
        <f t="shared" si="10"/>
        <v>1.272895361504961E-3</v>
      </c>
    </row>
    <row r="22" spans="1:36" x14ac:dyDescent="0.3">
      <c r="A22" t="s">
        <v>85</v>
      </c>
      <c r="B22" t="s">
        <v>36</v>
      </c>
      <c r="C22">
        <f>C21/C20</f>
        <v>1.3662979830839297E-2</v>
      </c>
      <c r="D22">
        <f t="shared" ref="D22:L22" si="14">D21/D20</f>
        <v>1.5027322404371584E-2</v>
      </c>
      <c r="E22">
        <f t="shared" si="14"/>
        <v>9.4149293880295901E-3</v>
      </c>
      <c r="F22">
        <f t="shared" si="14"/>
        <v>1.6164584864070537E-2</v>
      </c>
      <c r="G22">
        <f t="shared" si="14"/>
        <v>1.1013215859030838E-2</v>
      </c>
      <c r="H22">
        <f t="shared" si="14"/>
        <v>1.3056835637480798E-2</v>
      </c>
      <c r="I22">
        <f t="shared" si="14"/>
        <v>1.7810026385224276E-2</v>
      </c>
      <c r="J22">
        <f t="shared" si="14"/>
        <v>2.2286125089863409E-2</v>
      </c>
      <c r="K22">
        <f t="shared" si="14"/>
        <v>2.0773638968481375E-2</v>
      </c>
      <c r="L22">
        <f t="shared" si="14"/>
        <v>1.7991004497751123E-2</v>
      </c>
      <c r="M22">
        <f t="shared" si="0"/>
        <v>1.5720066292514281E-2</v>
      </c>
      <c r="N22" s="2">
        <f t="shared" si="1"/>
        <v>1.2332392465286852E-3</v>
      </c>
      <c r="R22" t="s">
        <v>38</v>
      </c>
      <c r="S22" t="str">
        <f t="shared" si="11"/>
        <v>148.9 ± 3.2</v>
      </c>
      <c r="U22" t="str">
        <f t="shared" si="11"/>
        <v>6.3 ± 0.7</v>
      </c>
      <c r="W22" t="str">
        <f t="shared" si="12"/>
        <v>0.043 ± 0.005</v>
      </c>
      <c r="Y22" t="str">
        <f t="shared" si="12"/>
        <v>1.363 ± 0.172</v>
      </c>
      <c r="AE22" t="s">
        <v>39</v>
      </c>
      <c r="AF22">
        <v>2854.7790019999998</v>
      </c>
      <c r="AH22">
        <v>63.5</v>
      </c>
      <c r="AJ22" s="15">
        <f t="shared" si="10"/>
        <v>6.9879711656556419E-4</v>
      </c>
    </row>
    <row r="23" spans="1:36" x14ac:dyDescent="0.3">
      <c r="R23" t="s">
        <v>39</v>
      </c>
      <c r="S23" t="str">
        <f t="shared" si="11"/>
        <v>63.5 ± 3.2</v>
      </c>
      <c r="U23" t="str">
        <f t="shared" si="11"/>
        <v>3 ± 1</v>
      </c>
      <c r="W23" t="str">
        <f t="shared" si="12"/>
        <v>0.042 ± 0.013</v>
      </c>
      <c r="Y23" t="str">
        <f t="shared" si="12"/>
        <v>1.327 ± 0.41</v>
      </c>
      <c r="AF23">
        <f>SUM(AF17:AF22)</f>
        <v>21536.184902999998</v>
      </c>
      <c r="AH23">
        <v>1415</v>
      </c>
      <c r="AJ23" s="15">
        <f t="shared" si="10"/>
        <v>2.0641323543847908E-3</v>
      </c>
    </row>
    <row r="24" spans="1:36" x14ac:dyDescent="0.3">
      <c r="R24" t="s">
        <v>90</v>
      </c>
      <c r="S24" t="str">
        <f t="shared" si="11"/>
        <v>1415 ± 24.2</v>
      </c>
      <c r="U24" t="str">
        <f t="shared" si="11"/>
        <v>22.2 ± 1.7</v>
      </c>
      <c r="W24" t="str">
        <f t="shared" si="12"/>
        <v>0.016 ± 0.001</v>
      </c>
      <c r="Y24" t="str">
        <f t="shared" si="12"/>
        <v>0.5 ± 0.039</v>
      </c>
    </row>
  </sheetData>
  <sortState ref="R23:R28">
    <sortCondition descending="1" ref="R23:R2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N10" workbookViewId="0">
      <selection activeCell="Q19" sqref="Q19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28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28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 t="shared" ref="O2:O12" si="0">_xlfn.STDEV.P(D2:M2)/SQRT(10)</f>
        <v>4.9558046773455464</v>
      </c>
    </row>
    <row r="3" spans="1:28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1">AVERAGE(D3:M3)</f>
        <v>0.3</v>
      </c>
      <c r="O3" s="5">
        <f t="shared" si="0"/>
        <v>0.14491376746189438</v>
      </c>
    </row>
    <row r="4" spans="1:28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1"/>
        <v>2.2238355247060641E-3</v>
      </c>
      <c r="O4" s="5">
        <f t="shared" si="0"/>
        <v>1.0803056749121296E-3</v>
      </c>
    </row>
    <row r="5" spans="1:28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1"/>
        <v>5</v>
      </c>
      <c r="O5" s="5">
        <f t="shared" si="0"/>
        <v>0</v>
      </c>
    </row>
    <row r="6" spans="1:28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1"/>
        <v>0</v>
      </c>
      <c r="O6" s="5">
        <f t="shared" si="0"/>
        <v>0</v>
      </c>
    </row>
    <row r="7" spans="1:28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1"/>
        <v>0</v>
      </c>
      <c r="O7" s="5">
        <f t="shared" si="0"/>
        <v>0</v>
      </c>
    </row>
    <row r="8" spans="1:28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1"/>
        <v>3.2</v>
      </c>
      <c r="O8" s="5">
        <f t="shared" si="0"/>
        <v>0.12649110640673517</v>
      </c>
    </row>
    <row r="9" spans="1:28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1"/>
        <v>0</v>
      </c>
      <c r="O9" s="5">
        <f t="shared" si="0"/>
        <v>0</v>
      </c>
    </row>
    <row r="10" spans="1:28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1"/>
        <v>0</v>
      </c>
      <c r="O10" s="5">
        <f t="shared" si="0"/>
        <v>0</v>
      </c>
    </row>
    <row r="11" spans="1:28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1"/>
        <v>30</v>
      </c>
      <c r="O11" s="5">
        <f t="shared" si="0"/>
        <v>1.4352700094407325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28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1"/>
        <v>0</v>
      </c>
      <c r="O12" s="5">
        <f t="shared" si="0"/>
        <v>0</v>
      </c>
      <c r="U12" s="8" t="s">
        <v>83</v>
      </c>
      <c r="V12" s="8" t="s">
        <v>84</v>
      </c>
    </row>
    <row r="13" spans="1:28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1"/>
        <v>0</v>
      </c>
      <c r="O13" s="5">
        <f>_xlfn.STDEV.P(D13:M13)/SQRT(10)</f>
        <v>0</v>
      </c>
      <c r="T13" t="s">
        <v>95</v>
      </c>
      <c r="U13" s="12">
        <f>SUMIFS($N:$N,$B:$B,$T13,$C:$C,U$11)</f>
        <v>1415</v>
      </c>
      <c r="V13" s="12">
        <f>SUMIFS($O:$O,$B:$B,$T13,$C:$C,V$11)</f>
        <v>24.220239470327289</v>
      </c>
      <c r="W13" s="12">
        <f>SUMIFS($N:$N,$B:$B,$T13,$C:$C,W$11)</f>
        <v>22.2</v>
      </c>
      <c r="X13" s="12">
        <f>SUMIFS($O:$O,$B:$B,$T13,$C:$C,X$11)</f>
        <v>1.7251086922278258</v>
      </c>
      <c r="Y13" s="13">
        <f>SUMIFS($N:$N,$B:$B,$T13,$C:$C,Y$11)</f>
        <v>1.5720066292514281E-2</v>
      </c>
      <c r="Z13" s="13">
        <f>SUMIFS($O:$O,$B:$B,$T13,$C:$C,Z$11)</f>
        <v>1.2332392465286852E-3</v>
      </c>
      <c r="AA13">
        <f>Y13/0.1/0.1/PI()</f>
        <v>0.50038525123718647</v>
      </c>
      <c r="AB13">
        <f>Z13/0.1/0.1/PI()</f>
        <v>3.9255224419992955E-2</v>
      </c>
    </row>
    <row r="14" spans="1:28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1"/>
        <v>964.2</v>
      </c>
      <c r="O14" s="2">
        <f t="shared" ref="O14:O37" si="2">_xlfn.STDEV.P(D14:M14)/SQRT(10)</f>
        <v>17.138728074159996</v>
      </c>
      <c r="T14" t="s">
        <v>4</v>
      </c>
      <c r="U14" s="12">
        <f>SUMIFS($N:$N,$B:$B,$T14,$C:$C,U$11, $A:$A,"Y")</f>
        <v>964.2</v>
      </c>
      <c r="V14" s="12">
        <f>SUMIFS($O:$O,$B:$B,$T14,$C:$C,V$11,$A:$A,"Y")</f>
        <v>17.138728074159996</v>
      </c>
      <c r="W14" s="12">
        <f>SUMIFS($N:$N,$B:$B,$T14,$C:$C,W$11, $A:$A,"Y")</f>
        <v>15.2</v>
      </c>
      <c r="X14" s="12">
        <f>SUMIFS($O:$O,$B:$B,$T14,$C:$C,X$11,$A:$A,"Y")</f>
        <v>1.2553883861180173</v>
      </c>
      <c r="Y14" s="11">
        <f>SUMIFS($N:$N,$B:$B,$T14,$C:$C,Y$11,$A:$A,"Y")</f>
        <v>1.5722783614100143E-2</v>
      </c>
      <c r="Z14" s="11">
        <f>SUMIFS($O:$O,$B:$B,$T14,$C:$C,Z$11,$A:$A,"Y")</f>
        <v>1.2425405971716703E-3</v>
      </c>
      <c r="AA14">
        <f t="shared" ref="AA14:AB20" si="3">Y14/0.1/0.1/PI()</f>
        <v>0.50047174626965851</v>
      </c>
      <c r="AB14">
        <f t="shared" si="3"/>
        <v>3.9551295606445366E-2</v>
      </c>
    </row>
    <row r="15" spans="1:28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1"/>
        <v>15.2</v>
      </c>
      <c r="O15" s="2">
        <f t="shared" si="2"/>
        <v>1.2553883861180173</v>
      </c>
      <c r="T15" t="s">
        <v>7</v>
      </c>
      <c r="U15" s="12">
        <f t="shared" ref="U15:U17" si="4">SUMIFS($N:$N,$B:$B,$T15,$C:$C,U$11, $A:$A,"Y")</f>
        <v>133.1</v>
      </c>
      <c r="V15" s="12">
        <f t="shared" ref="V15:V17" si="5">SUMIFS($O:$O,$B:$B,$T15,$C:$C,V$11,$A:$A,"Y")</f>
        <v>4.3161325280857623</v>
      </c>
      <c r="W15" s="12">
        <f t="shared" ref="W15:W17" si="6">SUMIFS($N:$N,$B:$B,$T15,$C:$C,W$11, $A:$A,"Y")</f>
        <v>1</v>
      </c>
      <c r="X15" s="12">
        <f t="shared" ref="X15:X17" si="7">SUMIFS($O:$O,$B:$B,$T15,$C:$C,X$11,$A:$A,"Y")</f>
        <v>0.19999999999999998</v>
      </c>
      <c r="Y15" s="11">
        <f t="shared" ref="Y15:Y17" si="8">SUMIFS($N:$N,$B:$B,$T15,$C:$C,Y$11,$A:$A,"Y")</f>
        <v>7.4537098722662872E-3</v>
      </c>
      <c r="Z15" s="11">
        <f t="shared" ref="Z15:Z17" si="9">SUMIFS($O:$O,$B:$B,$T15,$C:$C,Z$11,$A:$A,"Y")</f>
        <v>1.3838695641247688E-3</v>
      </c>
      <c r="AA15">
        <f t="shared" si="3"/>
        <v>0.23725895410880787</v>
      </c>
      <c r="AB15">
        <f t="shared" si="3"/>
        <v>4.4049936344976712E-2</v>
      </c>
    </row>
    <row r="16" spans="1:28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1"/>
        <v>1.5722783614100143E-2</v>
      </c>
      <c r="O16" s="2">
        <f t="shared" si="2"/>
        <v>1.2425405971716703E-3</v>
      </c>
      <c r="T16" t="s">
        <v>94</v>
      </c>
      <c r="U16" s="12">
        <f>SUMIFS($N:$N,$B:$B,$T16,$C:$C,U$11, $A:$A,"Y")</f>
        <v>156.9</v>
      </c>
      <c r="V16" s="12">
        <f t="shared" si="5"/>
        <v>2.8651352498616887</v>
      </c>
      <c r="W16" s="12">
        <f t="shared" si="6"/>
        <v>3.1</v>
      </c>
      <c r="X16" s="12">
        <f t="shared" si="7"/>
        <v>0.84202137740083538</v>
      </c>
      <c r="Y16" s="11">
        <f t="shared" si="8"/>
        <v>2.0269903506119104E-2</v>
      </c>
      <c r="Z16" s="11">
        <f t="shared" si="9"/>
        <v>5.7560541802401015E-3</v>
      </c>
      <c r="AA16">
        <f t="shared" si="3"/>
        <v>0.64521106779891912</v>
      </c>
      <c r="AB16">
        <f t="shared" si="3"/>
        <v>0.18322089509799591</v>
      </c>
    </row>
    <row r="17" spans="1:28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1"/>
        <v>133.1</v>
      </c>
      <c r="O17" s="2">
        <f t="shared" si="2"/>
        <v>4.3161325280857623</v>
      </c>
      <c r="T17" t="s">
        <v>93</v>
      </c>
      <c r="U17" s="12">
        <f t="shared" si="4"/>
        <v>160.80000000000001</v>
      </c>
      <c r="V17" s="12">
        <f t="shared" si="5"/>
        <v>3.3160217128360303</v>
      </c>
      <c r="W17" s="12">
        <f t="shared" si="6"/>
        <v>2.9</v>
      </c>
      <c r="X17" s="12">
        <f t="shared" si="7"/>
        <v>0.55587768438749174</v>
      </c>
      <c r="Y17" s="11">
        <f t="shared" si="8"/>
        <v>1.7868484615679969E-2</v>
      </c>
      <c r="Z17" s="11">
        <f t="shared" si="9"/>
        <v>3.3422628414050653E-3</v>
      </c>
      <c r="AA17">
        <f t="shared" si="3"/>
        <v>0.56877153042939055</v>
      </c>
      <c r="AB17">
        <f t="shared" si="3"/>
        <v>0.1063875304643959</v>
      </c>
    </row>
    <row r="18" spans="1:28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1"/>
        <v>1</v>
      </c>
      <c r="O18" s="2">
        <f t="shared" si="2"/>
        <v>0.19999999999999998</v>
      </c>
      <c r="T18" t="s">
        <v>88</v>
      </c>
      <c r="U18" s="12">
        <f t="shared" ref="U18:U20" si="10">SUMIFS($N:$N,$B:$B,$T18,$C:$C,U$11)</f>
        <v>172.2</v>
      </c>
      <c r="V18" s="12">
        <f t="shared" ref="V18:V20" si="11">SUMIFS($O:$O,$B:$B,$T18,$C:$C,V$11)</f>
        <v>6.1119554972201815</v>
      </c>
      <c r="W18" s="12">
        <f t="shared" ref="W18:W20" si="12">SUMIFS($N:$N,$B:$B,$T18,$C:$C,W$11)</f>
        <v>0.3</v>
      </c>
      <c r="X18" s="12">
        <f t="shared" ref="X18:X20" si="13">SUMIFS($O:$O,$B:$B,$T18,$C:$C,X$11)</f>
        <v>0.14491376746189438</v>
      </c>
      <c r="Y18" s="13">
        <f t="shared" ref="Y18:Y20" si="14">SUMIFS($N:$N,$B:$B,$T18,$C:$C,Y$11)</f>
        <v>1.723930220880143E-3</v>
      </c>
      <c r="Z18" s="13">
        <f t="shared" ref="Z18:Z20" si="15">SUMIFS($O:$O,$B:$B,$T18,$C:$C,Z$11)</f>
        <v>8.3705089798465472E-4</v>
      </c>
      <c r="AA18">
        <f t="shared" si="3"/>
        <v>5.4874403239715534E-2</v>
      </c>
      <c r="AB18">
        <f t="shared" si="3"/>
        <v>2.6644157606753517E-2</v>
      </c>
    </row>
    <row r="19" spans="1:28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1"/>
        <v>7.4537098722662872E-3</v>
      </c>
      <c r="O19" s="2">
        <f t="shared" si="2"/>
        <v>1.3838695641247688E-3</v>
      </c>
      <c r="T19" t="s">
        <v>80</v>
      </c>
      <c r="U19" s="12">
        <f>SUMIFS($N:$N,$B:$B,$T19,$C:$C,U$11)</f>
        <v>1150.9000000000001</v>
      </c>
      <c r="V19" s="12">
        <f t="shared" si="11"/>
        <v>13.58340899774427</v>
      </c>
      <c r="W19" s="12">
        <f t="shared" si="12"/>
        <v>0.7</v>
      </c>
      <c r="X19" s="12">
        <f t="shared" si="13"/>
        <v>0.20248456731316586</v>
      </c>
      <c r="Y19" s="11">
        <f t="shared" si="14"/>
        <v>6.1048499704993589E-4</v>
      </c>
      <c r="Z19" s="11">
        <f t="shared" si="15"/>
        <v>1.7422302022759704E-4</v>
      </c>
      <c r="AA19">
        <f t="shared" si="3"/>
        <v>1.9432340992787688E-2</v>
      </c>
      <c r="AB19">
        <f t="shared" si="3"/>
        <v>5.5456909739242666E-3</v>
      </c>
    </row>
    <row r="20" spans="1:28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1"/>
        <v>160.80000000000001</v>
      </c>
      <c r="O20" s="2">
        <f t="shared" si="2"/>
        <v>3.3160217128360303</v>
      </c>
      <c r="T20" t="s">
        <v>85</v>
      </c>
      <c r="U20" s="12">
        <f t="shared" si="10"/>
        <v>2738.1</v>
      </c>
      <c r="V20" s="12">
        <f t="shared" si="11"/>
        <v>34.780871179428495</v>
      </c>
      <c r="W20" s="12">
        <f t="shared" si="12"/>
        <v>23.2</v>
      </c>
      <c r="X20" s="12">
        <f t="shared" si="13"/>
        <v>1.8697593428032389</v>
      </c>
      <c r="Y20" s="11">
        <f t="shared" si="14"/>
        <v>8.4921313966661843E-3</v>
      </c>
      <c r="Z20" s="11">
        <f t="shared" si="15"/>
        <v>6.945857818981099E-4</v>
      </c>
      <c r="AA20">
        <f t="shared" si="3"/>
        <v>0.27031293783306082</v>
      </c>
      <c r="AB20">
        <f t="shared" si="3"/>
        <v>2.2109352118086657E-2</v>
      </c>
    </row>
    <row r="21" spans="1:28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1"/>
        <v>2.9</v>
      </c>
      <c r="O21" s="2">
        <f t="shared" si="2"/>
        <v>0.55587768438749174</v>
      </c>
    </row>
    <row r="22" spans="1:28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1"/>
        <v>1.7868484615679969E-2</v>
      </c>
      <c r="O22" s="2">
        <f t="shared" si="2"/>
        <v>3.3422628414050653E-3</v>
      </c>
    </row>
    <row r="23" spans="1:28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1"/>
        <v>156.9</v>
      </c>
      <c r="O23" s="2">
        <f t="shared" si="2"/>
        <v>2.8651352498616887</v>
      </c>
    </row>
    <row r="24" spans="1:28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1"/>
        <v>3.1</v>
      </c>
      <c r="O24" s="2">
        <f t="shared" si="2"/>
        <v>0.84202137740083538</v>
      </c>
    </row>
    <row r="25" spans="1:28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1"/>
        <v>2.0269903506119104E-2</v>
      </c>
      <c r="O25" s="2">
        <f t="shared" si="2"/>
        <v>5.7560541802401015E-3</v>
      </c>
      <c r="T25" t="s">
        <v>89</v>
      </c>
      <c r="U25" t="str">
        <f>ROUND(U13,1)&amp;" ± "&amp;ROUND(V13,1)</f>
        <v>1415 ± 24.2</v>
      </c>
      <c r="W25" t="str">
        <f>ROUND(W13,1)&amp;" ± "&amp;ROUND(X13,1)</f>
        <v>22.2 ± 1.7</v>
      </c>
      <c r="Y25" t="str">
        <f>ROUND(Y13,3)&amp;" ± "&amp;ROUND(Z13,3)</f>
        <v>0.016 ± 0.001</v>
      </c>
      <c r="AA25" t="str">
        <f>ROUND(AA13,3)&amp;" ± "&amp;ROUND(AB13,3)</f>
        <v>0.5 ± 0.039</v>
      </c>
    </row>
    <row r="26" spans="1:28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1"/>
        <v>1150.9000000000001</v>
      </c>
      <c r="O26" s="2">
        <f t="shared" si="2"/>
        <v>13.58340899774427</v>
      </c>
      <c r="T26" t="s">
        <v>4</v>
      </c>
      <c r="U26" t="str">
        <f t="shared" ref="U26:W32" si="16">ROUND(U14,1)&amp;" ± "&amp;ROUND(V14,1)</f>
        <v>964.2 ± 17.1</v>
      </c>
      <c r="W26" t="str">
        <f t="shared" si="16"/>
        <v>15.2 ± 1.3</v>
      </c>
      <c r="Y26" t="str">
        <f t="shared" ref="Y26:AA32" si="17">ROUND(Y14,3)&amp;" ± "&amp;ROUND(Z14,3)</f>
        <v>0.016 ± 0.001</v>
      </c>
      <c r="AA26" t="str">
        <f t="shared" si="17"/>
        <v>0.5 ± 0.04</v>
      </c>
    </row>
    <row r="27" spans="1:28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1"/>
        <v>0.7</v>
      </c>
      <c r="O27" s="2">
        <f t="shared" si="2"/>
        <v>0.20248456731316586</v>
      </c>
      <c r="T27" t="s">
        <v>7</v>
      </c>
      <c r="U27" t="str">
        <f t="shared" si="16"/>
        <v>133.1 ± 4.3</v>
      </c>
      <c r="W27" t="str">
        <f t="shared" si="16"/>
        <v>1 ± 0.2</v>
      </c>
      <c r="Y27" t="str">
        <f t="shared" si="17"/>
        <v>0.007 ± 0.001</v>
      </c>
      <c r="AA27" t="str">
        <f t="shared" si="17"/>
        <v>0.237 ± 0.044</v>
      </c>
    </row>
    <row r="28" spans="1:28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1"/>
        <v>6.1048499704993589E-4</v>
      </c>
      <c r="O28" s="2">
        <f t="shared" si="2"/>
        <v>1.7422302022759704E-4</v>
      </c>
      <c r="T28" t="s">
        <v>6</v>
      </c>
      <c r="U28" t="str">
        <f>ROUND(U16,1)&amp;" ± "&amp;ROUND(V16,1)</f>
        <v>156.9 ± 2.9</v>
      </c>
      <c r="W28" t="str">
        <f t="shared" si="16"/>
        <v>3.1 ± 0.8</v>
      </c>
      <c r="Y28" t="str">
        <f t="shared" si="17"/>
        <v>0.02 ± 0.006</v>
      </c>
      <c r="AA28" t="str">
        <f t="shared" si="17"/>
        <v>0.645 ± 0.183</v>
      </c>
    </row>
    <row r="29" spans="1:28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18">SUMIFS(E$2:E$28,$A$2:$A$28,$A29,$C$2:$C$28,$C29)</f>
        <v>1464</v>
      </c>
      <c r="F29" s="10">
        <f t="shared" si="18"/>
        <v>1487</v>
      </c>
      <c r="G29" s="10">
        <f t="shared" si="18"/>
        <v>1361</v>
      </c>
      <c r="H29" s="10">
        <f t="shared" si="18"/>
        <v>1362</v>
      </c>
      <c r="I29" s="10">
        <f t="shared" si="18"/>
        <v>1302</v>
      </c>
      <c r="J29" s="10">
        <f t="shared" si="18"/>
        <v>1516</v>
      </c>
      <c r="K29" s="10">
        <f t="shared" si="18"/>
        <v>1391</v>
      </c>
      <c r="L29" s="10">
        <f t="shared" si="18"/>
        <v>1396</v>
      </c>
      <c r="M29" s="10">
        <f t="shared" si="18"/>
        <v>1334</v>
      </c>
      <c r="N29" s="10">
        <f>AVERAGE(D29:M29)</f>
        <v>1415</v>
      </c>
      <c r="O29" s="2">
        <f t="shared" si="2"/>
        <v>24.220239470327289</v>
      </c>
      <c r="T29" t="s">
        <v>9</v>
      </c>
      <c r="U29" t="str">
        <f t="shared" si="16"/>
        <v>160.8 ± 3.3</v>
      </c>
      <c r="W29" t="str">
        <f t="shared" si="16"/>
        <v>2.9 ± 0.6</v>
      </c>
      <c r="Y29" t="str">
        <f t="shared" si="17"/>
        <v>0.018 ± 0.003</v>
      </c>
      <c r="AA29" t="str">
        <f t="shared" si="17"/>
        <v>0.569 ± 0.106</v>
      </c>
    </row>
    <row r="30" spans="1:28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18"/>
        <v>22</v>
      </c>
      <c r="F30">
        <f t="shared" si="18"/>
        <v>14</v>
      </c>
      <c r="G30">
        <f t="shared" si="18"/>
        <v>22</v>
      </c>
      <c r="H30">
        <f t="shared" si="18"/>
        <v>15</v>
      </c>
      <c r="I30">
        <f t="shared" si="18"/>
        <v>17</v>
      </c>
      <c r="J30">
        <f t="shared" si="18"/>
        <v>27</v>
      </c>
      <c r="K30">
        <f t="shared" si="18"/>
        <v>31</v>
      </c>
      <c r="L30">
        <f t="shared" si="18"/>
        <v>29</v>
      </c>
      <c r="M30">
        <f t="shared" si="18"/>
        <v>24</v>
      </c>
      <c r="N30">
        <f t="shared" si="1"/>
        <v>22.2</v>
      </c>
      <c r="O30" s="2">
        <f>_xlfn.STDEV.P(D30:M30)/SQRT(10)</f>
        <v>1.7251086922278258</v>
      </c>
      <c r="T30" t="s">
        <v>88</v>
      </c>
      <c r="U30" t="str">
        <f t="shared" si="16"/>
        <v>172.2 ± 6.1</v>
      </c>
      <c r="W30" t="str">
        <f t="shared" si="16"/>
        <v>0.3 ± 0.1</v>
      </c>
      <c r="Y30" t="str">
        <f t="shared" si="17"/>
        <v>0.002 ± 0.001</v>
      </c>
      <c r="AA30" t="str">
        <f t="shared" si="17"/>
        <v>0.055 ± 0.027</v>
      </c>
    </row>
    <row r="31" spans="1:28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19">E30/E29</f>
        <v>1.5027322404371584E-2</v>
      </c>
      <c r="F31" s="2">
        <f t="shared" si="19"/>
        <v>9.4149293880295901E-3</v>
      </c>
      <c r="G31" s="2">
        <f t="shared" si="19"/>
        <v>1.6164584864070537E-2</v>
      </c>
      <c r="H31" s="2">
        <f t="shared" si="19"/>
        <v>1.1013215859030838E-2</v>
      </c>
      <c r="I31" s="2">
        <f t="shared" si="19"/>
        <v>1.3056835637480798E-2</v>
      </c>
      <c r="J31" s="2">
        <f t="shared" si="19"/>
        <v>1.7810026385224276E-2</v>
      </c>
      <c r="K31" s="2">
        <f t="shared" si="19"/>
        <v>2.2286125089863409E-2</v>
      </c>
      <c r="L31" s="2">
        <f t="shared" si="19"/>
        <v>2.0773638968481375E-2</v>
      </c>
      <c r="M31" s="2">
        <f t="shared" si="19"/>
        <v>1.7991004497751123E-2</v>
      </c>
      <c r="N31" s="14">
        <f t="shared" si="1"/>
        <v>1.5720066292514281E-2</v>
      </c>
      <c r="O31" s="2">
        <f t="shared" si="2"/>
        <v>1.2332392465286852E-3</v>
      </c>
      <c r="T31" t="s">
        <v>80</v>
      </c>
      <c r="U31" t="str">
        <f t="shared" si="16"/>
        <v>1150.9 ± 13.6</v>
      </c>
      <c r="W31" t="str">
        <f t="shared" si="16"/>
        <v>0.7 ± 0.2</v>
      </c>
      <c r="Y31" t="str">
        <f t="shared" si="17"/>
        <v>0.001 ± 0</v>
      </c>
      <c r="AA31" t="str">
        <f t="shared" si="17"/>
        <v>0.019 ± 0.006</v>
      </c>
    </row>
    <row r="32" spans="1:28" x14ac:dyDescent="0.3">
      <c r="A32" t="s">
        <v>87</v>
      </c>
      <c r="B32" t="s">
        <v>88</v>
      </c>
      <c r="C32" t="s">
        <v>2</v>
      </c>
      <c r="D32">
        <f t="shared" ref="D32:M33" si="20">SUMIFS(D$2:D$28,$A$2:$A$28,$A32,$C$2:$C$28,$C32)</f>
        <v>180</v>
      </c>
      <c r="E32">
        <f t="shared" si="20"/>
        <v>169</v>
      </c>
      <c r="F32">
        <f t="shared" si="20"/>
        <v>216</v>
      </c>
      <c r="G32">
        <f t="shared" si="20"/>
        <v>196</v>
      </c>
      <c r="H32">
        <f t="shared" si="20"/>
        <v>164</v>
      </c>
      <c r="I32">
        <f t="shared" si="20"/>
        <v>159</v>
      </c>
      <c r="J32">
        <f t="shared" si="20"/>
        <v>154</v>
      </c>
      <c r="K32">
        <f t="shared" si="20"/>
        <v>149</v>
      </c>
      <c r="L32">
        <f t="shared" si="20"/>
        <v>171</v>
      </c>
      <c r="M32">
        <f t="shared" si="20"/>
        <v>164</v>
      </c>
      <c r="N32">
        <f t="shared" si="1"/>
        <v>172.2</v>
      </c>
      <c r="O32" s="2">
        <f t="shared" si="2"/>
        <v>6.1119554972201815</v>
      </c>
      <c r="T32" t="s">
        <v>85</v>
      </c>
      <c r="U32" t="str">
        <f t="shared" si="16"/>
        <v>2738.1 ± 34.8</v>
      </c>
      <c r="W32" t="str">
        <f t="shared" si="16"/>
        <v>23.2 ± 1.9</v>
      </c>
      <c r="Y32" t="str">
        <f t="shared" si="17"/>
        <v>0.008 ± 0.001</v>
      </c>
      <c r="AA32" t="str">
        <f t="shared" si="17"/>
        <v>0.27 ± 0.022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20"/>
        <v>0</v>
      </c>
      <c r="E33">
        <f t="shared" si="20"/>
        <v>0</v>
      </c>
      <c r="F33">
        <f t="shared" si="20"/>
        <v>0</v>
      </c>
      <c r="G33">
        <f t="shared" si="20"/>
        <v>1</v>
      </c>
      <c r="H33">
        <f t="shared" si="20"/>
        <v>0</v>
      </c>
      <c r="I33">
        <f t="shared" si="20"/>
        <v>1</v>
      </c>
      <c r="J33">
        <f t="shared" si="20"/>
        <v>0</v>
      </c>
      <c r="K33">
        <f t="shared" si="20"/>
        <v>0</v>
      </c>
      <c r="L33">
        <f t="shared" si="20"/>
        <v>1</v>
      </c>
      <c r="M33">
        <f t="shared" si="20"/>
        <v>0</v>
      </c>
      <c r="N33">
        <f t="shared" si="1"/>
        <v>0.3</v>
      </c>
      <c r="O33" s="2">
        <f t="shared" si="2"/>
        <v>0.14491376746189438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21">E33/E32</f>
        <v>0</v>
      </c>
      <c r="F34">
        <f t="shared" ref="F34" si="22">F33/F32</f>
        <v>0</v>
      </c>
      <c r="G34">
        <f t="shared" ref="G34" si="23">G33/G32</f>
        <v>5.1020408163265302E-3</v>
      </c>
      <c r="H34">
        <f t="shared" ref="H34" si="24">H33/H32</f>
        <v>0</v>
      </c>
      <c r="I34">
        <f t="shared" ref="I34" si="25">I33/I32</f>
        <v>6.2893081761006293E-3</v>
      </c>
      <c r="J34">
        <f t="shared" ref="J34" si="26">J33/J32</f>
        <v>0</v>
      </c>
      <c r="K34">
        <f t="shared" ref="K34" si="27">K33/K32</f>
        <v>0</v>
      </c>
      <c r="L34">
        <f t="shared" ref="L34" si="28">L33/L32</f>
        <v>5.8479532163742687E-3</v>
      </c>
      <c r="M34">
        <f t="shared" ref="M34" si="29">M33/M32</f>
        <v>0</v>
      </c>
      <c r="N34" s="14">
        <f t="shared" si="1"/>
        <v>1.723930220880143E-3</v>
      </c>
      <c r="O34" s="2">
        <f t="shared" si="2"/>
        <v>8.3705089798465472E-4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30">SUMIF($C$2:$C$28,$C35,E$2:E$28)</f>
        <v>2740</v>
      </c>
      <c r="F35">
        <f t="shared" si="30"/>
        <v>2913</v>
      </c>
      <c r="G35">
        <f t="shared" si="30"/>
        <v>2714</v>
      </c>
      <c r="H35">
        <f t="shared" si="30"/>
        <v>2659</v>
      </c>
      <c r="I35">
        <f t="shared" si="30"/>
        <v>2554</v>
      </c>
      <c r="J35">
        <f t="shared" si="30"/>
        <v>2853</v>
      </c>
      <c r="K35">
        <f t="shared" si="30"/>
        <v>2631</v>
      </c>
      <c r="L35">
        <f t="shared" si="30"/>
        <v>2785</v>
      </c>
      <c r="M35">
        <f t="shared" si="30"/>
        <v>2663</v>
      </c>
      <c r="N35" s="6">
        <f t="shared" ref="N35:N37" si="31">AVERAGE(D35:M35)</f>
        <v>2738.1</v>
      </c>
      <c r="O35" s="2">
        <f t="shared" si="2"/>
        <v>34.780871179428495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30"/>
        <v>23</v>
      </c>
      <c r="F36">
        <f t="shared" si="30"/>
        <v>14</v>
      </c>
      <c r="G36">
        <f t="shared" si="30"/>
        <v>23</v>
      </c>
      <c r="H36">
        <f t="shared" si="30"/>
        <v>15</v>
      </c>
      <c r="I36">
        <f t="shared" si="30"/>
        <v>19</v>
      </c>
      <c r="J36">
        <f t="shared" si="30"/>
        <v>29</v>
      </c>
      <c r="K36">
        <f t="shared" si="30"/>
        <v>32</v>
      </c>
      <c r="L36">
        <f t="shared" si="30"/>
        <v>31</v>
      </c>
      <c r="M36">
        <f t="shared" si="30"/>
        <v>25</v>
      </c>
      <c r="N36" s="3">
        <f t="shared" si="31"/>
        <v>23.2</v>
      </c>
      <c r="O36" s="2">
        <f t="shared" si="2"/>
        <v>1.8697593428032389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32">E36/E35</f>
        <v>8.3941605839416063E-3</v>
      </c>
      <c r="F37" s="2">
        <f t="shared" si="32"/>
        <v>4.8060418812221079E-3</v>
      </c>
      <c r="G37" s="2">
        <f t="shared" si="32"/>
        <v>8.4745762711864406E-3</v>
      </c>
      <c r="H37" s="2">
        <f t="shared" si="32"/>
        <v>5.6412185031966908E-3</v>
      </c>
      <c r="I37" s="2">
        <f t="shared" si="32"/>
        <v>7.4393108848864525E-3</v>
      </c>
      <c r="J37" s="2">
        <f t="shared" si="32"/>
        <v>1.0164738871363477E-2</v>
      </c>
      <c r="K37" s="2">
        <f t="shared" si="32"/>
        <v>1.2162675788673508E-2</v>
      </c>
      <c r="L37" s="2">
        <f t="shared" si="32"/>
        <v>1.1131059245960502E-2</v>
      </c>
      <c r="M37" s="2">
        <f t="shared" si="32"/>
        <v>9.3879083740142696E-3</v>
      </c>
      <c r="N37" s="2">
        <f t="shared" si="31"/>
        <v>8.4921313966661843E-3</v>
      </c>
      <c r="O37" s="2">
        <f t="shared" si="2"/>
        <v>6.945857818981099E-4</v>
      </c>
    </row>
  </sheetData>
  <sortState ref="T34:T38">
    <sortCondition ref="T3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2020-06-22T08:30:26Z</dcterms:modified>
</cp:coreProperties>
</file>